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howInkAnnotation="0"/>
  <mc:AlternateContent xmlns:mc="http://schemas.openxmlformats.org/markup-compatibility/2006">
    <mc:Choice Requires="x15">
      <x15ac:absPath xmlns:x15ac="http://schemas.microsoft.com/office/spreadsheetml/2010/11/ac" url="H:\Facilities Management\Durpal Migration\"/>
    </mc:Choice>
  </mc:AlternateContent>
  <xr:revisionPtr revIDLastSave="0" documentId="8_{0D8BA03F-5314-43A9-9E00-495297A02361}" xr6:coauthVersionLast="47" xr6:coauthVersionMax="47" xr10:uidLastSave="{00000000-0000-0000-0000-000000000000}"/>
  <bookViews>
    <workbookView xWindow="-28920" yWindow="-120" windowWidth="29040" windowHeight="15840" activeTab="1" xr2:uid="{00000000-000D-0000-FFFF-FFFF00000000}"/>
  </bookViews>
  <sheets>
    <sheet name="Notes" sheetId="34" r:id="rId1"/>
    <sheet name="GHGs" sheetId="74" r:id="rId2"/>
    <sheet name="E07" sheetId="1" r:id="rId3"/>
    <sheet name="E08" sheetId="2" r:id="rId4"/>
    <sheet name="E09" sheetId="3" r:id="rId5"/>
    <sheet name="E10" sheetId="4" r:id="rId6"/>
    <sheet name="E11" sheetId="5" r:id="rId7"/>
    <sheet name="E12" sheetId="6" r:id="rId8"/>
    <sheet name="E13" sheetId="7" r:id="rId9"/>
    <sheet name="E14" sheetId="8" r:id="rId10"/>
    <sheet name="E15" sheetId="9" r:id="rId11"/>
    <sheet name="E16" sheetId="10" r:id="rId12"/>
    <sheet name="E17" sheetId="11" r:id="rId13"/>
    <sheet name="E18" sheetId="49" r:id="rId14"/>
    <sheet name="E19" sheetId="55" r:id="rId15"/>
    <sheet name="E20" sheetId="57" r:id="rId16"/>
    <sheet name="E21" sheetId="63" r:id="rId17"/>
    <sheet name="E22" sheetId="68" r:id="rId18"/>
    <sheet name="G07" sheetId="12" r:id="rId19"/>
    <sheet name="G08" sheetId="14" r:id="rId20"/>
    <sheet name="G09" sheetId="13" r:id="rId21"/>
    <sheet name="G10" sheetId="15" r:id="rId22"/>
    <sheet name="G11" sheetId="16" r:id="rId23"/>
    <sheet name="G12" sheetId="17" r:id="rId24"/>
    <sheet name="G13" sheetId="18" r:id="rId25"/>
    <sheet name="G14" sheetId="19" r:id="rId26"/>
    <sheet name="G15" sheetId="20" r:id="rId27"/>
    <sheet name="G16" sheetId="21" r:id="rId28"/>
    <sheet name="G17" sheetId="22" r:id="rId29"/>
    <sheet name="G18" sheetId="48" r:id="rId30"/>
    <sheet name="G19" sheetId="54" r:id="rId31"/>
    <sheet name="G20" sheetId="58" r:id="rId32"/>
    <sheet name="G21" sheetId="62" r:id="rId33"/>
    <sheet name="G22" sheetId="69" r:id="rId34"/>
    <sheet name="W07" sheetId="23" r:id="rId35"/>
    <sheet name="W08" sheetId="24" r:id="rId36"/>
    <sheet name="W09" sheetId="25" r:id="rId37"/>
    <sheet name="W10" sheetId="26" r:id="rId38"/>
    <sheet name="W11" sheetId="27" r:id="rId39"/>
    <sheet name="W12" sheetId="28" r:id="rId40"/>
    <sheet name="W13" sheetId="29" r:id="rId41"/>
    <sheet name="W14" sheetId="30" r:id="rId42"/>
    <sheet name="W15" sheetId="31" r:id="rId43"/>
    <sheet name="W16" sheetId="32" r:id="rId44"/>
    <sheet name="W17" sheetId="33" r:id="rId45"/>
    <sheet name="W18" sheetId="46" r:id="rId46"/>
    <sheet name="W19" sheetId="56" r:id="rId47"/>
    <sheet name="W20" sheetId="59" r:id="rId48"/>
    <sheet name="W21" sheetId="67" r:id="rId49"/>
    <sheet name="W22" sheetId="70" r:id="rId50"/>
    <sheet name="O07" sheetId="35" r:id="rId51"/>
    <sheet name="O08" sheetId="36" r:id="rId52"/>
    <sheet name="O09" sheetId="37" r:id="rId53"/>
    <sheet name="O10" sheetId="38" r:id="rId54"/>
    <sheet name="O11" sheetId="39" r:id="rId55"/>
    <sheet name="O12" sheetId="40" r:id="rId56"/>
    <sheet name="O13" sheetId="41" r:id="rId57"/>
    <sheet name="O14" sheetId="42" r:id="rId58"/>
    <sheet name="O15" sheetId="43" r:id="rId59"/>
    <sheet name="O16" sheetId="44" r:id="rId60"/>
    <sheet name="O17" sheetId="45" r:id="rId61"/>
    <sheet name="O18" sheetId="47" r:id="rId62"/>
    <sheet name="O19" sheetId="60" r:id="rId63"/>
    <sheet name="O20" sheetId="64" r:id="rId64"/>
    <sheet name="O21" sheetId="65" r:id="rId65"/>
    <sheet name="O22" sheetId="71" r:id="rId66"/>
    <sheet name="P15" sheetId="50" r:id="rId67"/>
    <sheet name="P16" sheetId="51" r:id="rId68"/>
    <sheet name="P17" sheetId="52" r:id="rId69"/>
    <sheet name="P18" sheetId="53" r:id="rId70"/>
    <sheet name="P19" sheetId="61" r:id="rId71"/>
    <sheet name="P20" sheetId="66" r:id="rId72"/>
    <sheet name="P21" sheetId="72" r:id="rId73"/>
    <sheet name="P22" sheetId="73" r:id="rId74"/>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0" i="74" l="1"/>
  <c r="F20" i="74"/>
  <c r="C20" i="74"/>
  <c r="B20" i="74"/>
  <c r="K20" i="74" s="1"/>
  <c r="G20" i="74"/>
  <c r="H20" i="74"/>
  <c r="I20" i="74"/>
  <c r="C19" i="74"/>
  <c r="F19" i="74"/>
  <c r="G19" i="74"/>
  <c r="H19" i="74"/>
  <c r="I19" i="74"/>
  <c r="J19" i="74"/>
  <c r="B19" i="74"/>
  <c r="K19" i="74" s="1"/>
  <c r="J18" i="74"/>
  <c r="I18" i="74"/>
  <c r="F18" i="74"/>
  <c r="C18" i="74"/>
  <c r="B18" i="74"/>
  <c r="J17" i="74"/>
  <c r="F17" i="74"/>
  <c r="C17" i="74"/>
  <c r="B17" i="74"/>
  <c r="J16" i="74"/>
  <c r="F16" i="74"/>
  <c r="C16" i="74"/>
  <c r="B16" i="74"/>
  <c r="K16" i="74" s="1"/>
  <c r="J15" i="74"/>
  <c r="F15" i="74"/>
  <c r="C15" i="74"/>
  <c r="B15" i="74"/>
  <c r="J14" i="74"/>
  <c r="F14" i="74"/>
  <c r="C14" i="74"/>
  <c r="B14" i="74"/>
  <c r="J13" i="74"/>
  <c r="F13" i="74"/>
  <c r="C13" i="74"/>
  <c r="B13" i="74"/>
  <c r="K12" i="74"/>
  <c r="J12" i="74"/>
  <c r="C12" i="74"/>
  <c r="B12" i="74"/>
  <c r="J11" i="74"/>
  <c r="C11" i="74"/>
  <c r="K11" i="74" s="1"/>
  <c r="B11" i="74"/>
  <c r="J10" i="74"/>
  <c r="C10" i="74"/>
  <c r="B10" i="74"/>
  <c r="K10" i="74" s="1"/>
  <c r="K9" i="74"/>
  <c r="J9" i="74"/>
  <c r="C9" i="74"/>
  <c r="B9" i="74"/>
  <c r="J8" i="74"/>
  <c r="C8" i="74"/>
  <c r="K8" i="74" s="1"/>
  <c r="B8" i="74"/>
  <c r="J7" i="74"/>
  <c r="C7" i="74"/>
  <c r="B7" i="74"/>
  <c r="K7" i="74" s="1"/>
  <c r="K6" i="74"/>
  <c r="J6" i="74"/>
  <c r="C6" i="74"/>
  <c r="B6" i="74"/>
  <c r="J5" i="74"/>
  <c r="C5" i="74"/>
  <c r="K5" i="74" s="1"/>
  <c r="B5" i="74"/>
  <c r="J4" i="74"/>
  <c r="C4" i="74"/>
  <c r="B4" i="74"/>
  <c r="K4" i="74" s="1"/>
  <c r="K3" i="74"/>
  <c r="J3" i="74"/>
  <c r="C3" i="74"/>
  <c r="B3" i="74"/>
  <c r="K15" i="74" l="1"/>
  <c r="K18" i="74"/>
  <c r="K13" i="74"/>
  <c r="K14" i="74"/>
  <c r="K17" i="74"/>
  <c r="K2" i="72"/>
  <c r="B2" i="66"/>
  <c r="M3" i="73"/>
  <c r="L3" i="73"/>
  <c r="K3" i="73"/>
  <c r="J3" i="73"/>
  <c r="I3" i="73"/>
  <c r="H3" i="73"/>
  <c r="G3" i="73"/>
  <c r="F3" i="73"/>
  <c r="E3" i="73"/>
  <c r="D3" i="73"/>
  <c r="C3" i="73"/>
  <c r="B3" i="73"/>
  <c r="N2" i="73"/>
  <c r="N3" i="73" s="1"/>
  <c r="M3" i="72"/>
  <c r="L3" i="72"/>
  <c r="K3" i="72"/>
  <c r="J3" i="72"/>
  <c r="I3" i="72"/>
  <c r="H3" i="72"/>
  <c r="G3" i="72"/>
  <c r="F3" i="72"/>
  <c r="E3" i="72"/>
  <c r="D3" i="72"/>
  <c r="C3" i="72"/>
  <c r="B3" i="72"/>
  <c r="N2" i="72"/>
  <c r="N3" i="72" s="1"/>
  <c r="M2" i="71"/>
  <c r="M4" i="71" s="1"/>
  <c r="C2" i="71"/>
  <c r="C2" i="65"/>
  <c r="D2" i="65"/>
  <c r="E2" i="65"/>
  <c r="K2" i="65"/>
  <c r="L2" i="65"/>
  <c r="M2" i="65"/>
  <c r="B2" i="65"/>
  <c r="M3" i="64"/>
  <c r="D3" i="65"/>
  <c r="B3" i="65"/>
  <c r="D2" i="71"/>
  <c r="D4" i="71" s="1"/>
  <c r="E2" i="71"/>
  <c r="B2" i="71"/>
  <c r="B4" i="71" s="1"/>
  <c r="L2" i="71"/>
  <c r="L4" i="71"/>
  <c r="K4" i="71"/>
  <c r="J4" i="71"/>
  <c r="I4" i="71"/>
  <c r="H4" i="71"/>
  <c r="G4" i="71"/>
  <c r="F4" i="71"/>
  <c r="E4" i="71"/>
  <c r="C4" i="71"/>
  <c r="N3" i="71"/>
  <c r="L38" i="70"/>
  <c r="L40" i="70"/>
  <c r="L10" i="70"/>
  <c r="J38" i="70"/>
  <c r="K38" i="70"/>
  <c r="K10" i="70"/>
  <c r="J10" i="70"/>
  <c r="J40" i="70"/>
  <c r="I10" i="70"/>
  <c r="H38" i="70"/>
  <c r="I40" i="70"/>
  <c r="H40" i="70"/>
  <c r="H10" i="70"/>
  <c r="G10" i="70"/>
  <c r="F40" i="70"/>
  <c r="F10" i="70"/>
  <c r="E10" i="70"/>
  <c r="E40" i="70"/>
  <c r="D10" i="70"/>
  <c r="D40" i="70"/>
  <c r="C10" i="70"/>
  <c r="B40" i="70"/>
  <c r="B10" i="70"/>
  <c r="F39" i="67"/>
  <c r="M10" i="67"/>
  <c r="L39" i="67"/>
  <c r="L10" i="67"/>
  <c r="K39" i="67"/>
  <c r="J39" i="67"/>
  <c r="J10" i="67"/>
  <c r="N2" i="71" l="1"/>
  <c r="N4" i="71" s="1"/>
  <c r="M10" i="70"/>
  <c r="M26" i="68"/>
  <c r="L26" i="68"/>
  <c r="N39" i="69"/>
  <c r="N38" i="69"/>
  <c r="N35" i="69"/>
  <c r="N5" i="69"/>
  <c r="N6" i="69"/>
  <c r="N7" i="69"/>
  <c r="N8" i="69"/>
  <c r="N9" i="69"/>
  <c r="N10" i="69"/>
  <c r="N11" i="69"/>
  <c r="N12" i="69"/>
  <c r="N13" i="69"/>
  <c r="N14" i="69"/>
  <c r="N15" i="69"/>
  <c r="N16" i="69"/>
  <c r="N17" i="69"/>
  <c r="N18" i="69"/>
  <c r="N19" i="69"/>
  <c r="N20" i="69"/>
  <c r="N21" i="69"/>
  <c r="N22" i="69"/>
  <c r="N23" i="69"/>
  <c r="N24" i="69"/>
  <c r="N4" i="69"/>
  <c r="M40" i="69"/>
  <c r="L40" i="69"/>
  <c r="K10" i="67" l="1"/>
  <c r="I39" i="67"/>
  <c r="I10" i="67"/>
  <c r="H39" i="67"/>
  <c r="H10" i="67"/>
  <c r="G10" i="67"/>
  <c r="F10" i="67"/>
  <c r="F40" i="69" l="1"/>
  <c r="D40" i="69"/>
  <c r="K40" i="69"/>
  <c r="J40" i="69"/>
  <c r="F36" i="69"/>
  <c r="I40" i="69"/>
  <c r="H40" i="69"/>
  <c r="G40" i="69"/>
  <c r="G41" i="69" s="1"/>
  <c r="E40" i="69"/>
  <c r="E41" i="69" s="1"/>
  <c r="D36" i="69"/>
  <c r="C40" i="69"/>
  <c r="C41" i="69" s="1"/>
  <c r="B40" i="69"/>
  <c r="B36" i="69"/>
  <c r="N34" i="69"/>
  <c r="B25" i="70"/>
  <c r="B38" i="70"/>
  <c r="C40" i="70"/>
  <c r="N40" i="70"/>
  <c r="M38" i="70"/>
  <c r="I38" i="70"/>
  <c r="G38" i="70"/>
  <c r="F38" i="70"/>
  <c r="E38" i="70"/>
  <c r="D38" i="70"/>
  <c r="C38" i="70"/>
  <c r="N36" i="70"/>
  <c r="N35" i="70"/>
  <c r="N34" i="70"/>
  <c r="N33" i="70"/>
  <c r="N32" i="70"/>
  <c r="N31" i="70"/>
  <c r="N30" i="70"/>
  <c r="N29" i="70"/>
  <c r="N28" i="70"/>
  <c r="M25" i="70"/>
  <c r="L25" i="70"/>
  <c r="K25" i="70"/>
  <c r="J25" i="70"/>
  <c r="I25" i="70"/>
  <c r="H25" i="70"/>
  <c r="G25" i="70"/>
  <c r="G42" i="70" s="1"/>
  <c r="F25" i="70"/>
  <c r="E25" i="70"/>
  <c r="C25" i="70"/>
  <c r="N24" i="70"/>
  <c r="N23" i="70"/>
  <c r="N22" i="70"/>
  <c r="N21" i="70"/>
  <c r="N20" i="70"/>
  <c r="N19" i="70"/>
  <c r="N18" i="70"/>
  <c r="N17" i="70"/>
  <c r="N16" i="70"/>
  <c r="N15" i="70"/>
  <c r="N14" i="70"/>
  <c r="N13" i="70"/>
  <c r="N12" i="70"/>
  <c r="N11" i="70"/>
  <c r="N10" i="70"/>
  <c r="D25" i="70"/>
  <c r="N9" i="70"/>
  <c r="N8" i="70"/>
  <c r="N7" i="70"/>
  <c r="N6" i="70"/>
  <c r="N5" i="70"/>
  <c r="N4" i="70"/>
  <c r="M41" i="69"/>
  <c r="L41" i="69"/>
  <c r="K41" i="69"/>
  <c r="J41" i="69"/>
  <c r="I41" i="69"/>
  <c r="H41" i="69"/>
  <c r="F41" i="69"/>
  <c r="D41" i="69"/>
  <c r="E36" i="69"/>
  <c r="C36" i="69"/>
  <c r="N33" i="69"/>
  <c r="N32" i="69"/>
  <c r="N31" i="69"/>
  <c r="N30" i="69"/>
  <c r="N29" i="69"/>
  <c r="N28" i="69"/>
  <c r="M25" i="69"/>
  <c r="L25" i="69"/>
  <c r="K25" i="69"/>
  <c r="J25" i="69"/>
  <c r="I25" i="69"/>
  <c r="H25" i="69"/>
  <c r="G25" i="69"/>
  <c r="F25" i="69"/>
  <c r="E25" i="69"/>
  <c r="D25" i="69"/>
  <c r="C25" i="69"/>
  <c r="B25" i="69"/>
  <c r="J26" i="68"/>
  <c r="I26" i="68"/>
  <c r="N25" i="68"/>
  <c r="N24" i="68"/>
  <c r="N19" i="68"/>
  <c r="H26" i="68"/>
  <c r="G26" i="68"/>
  <c r="F26" i="68"/>
  <c r="B41" i="69" l="1"/>
  <c r="N40" i="69"/>
  <c r="N41" i="69"/>
  <c r="K42" i="70"/>
  <c r="L42" i="70"/>
  <c r="M42" i="70"/>
  <c r="I42" i="70"/>
  <c r="J42" i="70"/>
  <c r="D42" i="70"/>
  <c r="H42" i="70"/>
  <c r="E42" i="70"/>
  <c r="C42" i="70"/>
  <c r="B42" i="70"/>
  <c r="N38" i="70"/>
  <c r="M44" i="69"/>
  <c r="L44" i="69"/>
  <c r="F44" i="69"/>
  <c r="J44" i="69"/>
  <c r="I44" i="69"/>
  <c r="H44" i="69"/>
  <c r="D44" i="69"/>
  <c r="N36" i="69"/>
  <c r="F42" i="70"/>
  <c r="N25" i="70"/>
  <c r="G44" i="69"/>
  <c r="K44" i="69"/>
  <c r="C44" i="69"/>
  <c r="E44" i="69"/>
  <c r="B44" i="69"/>
  <c r="N25" i="69"/>
  <c r="N42" i="70" l="1"/>
  <c r="N44" i="69"/>
  <c r="N24" i="63" l="1"/>
  <c r="N23" i="63"/>
  <c r="N14" i="63"/>
  <c r="N15" i="63"/>
  <c r="N16" i="63"/>
  <c r="N17" i="63"/>
  <c r="N18" i="63"/>
  <c r="N13" i="63"/>
  <c r="N5" i="63"/>
  <c r="N6" i="63"/>
  <c r="N7" i="63"/>
  <c r="N8" i="63"/>
  <c r="N9" i="63"/>
  <c r="N4" i="63"/>
  <c r="C10" i="63"/>
  <c r="D10" i="63"/>
  <c r="E10" i="63"/>
  <c r="F10" i="63"/>
  <c r="G10" i="63"/>
  <c r="H10" i="63"/>
  <c r="I10" i="63"/>
  <c r="J10" i="63"/>
  <c r="K10" i="63"/>
  <c r="L10" i="63"/>
  <c r="M10" i="63"/>
  <c r="B10" i="63"/>
  <c r="C19" i="63"/>
  <c r="D19" i="63"/>
  <c r="E19" i="63"/>
  <c r="F19" i="63"/>
  <c r="G19" i="63"/>
  <c r="H19" i="63"/>
  <c r="I19" i="63"/>
  <c r="J19" i="63"/>
  <c r="K19" i="63"/>
  <c r="L19" i="63"/>
  <c r="M19" i="63"/>
  <c r="B19" i="63"/>
  <c r="E26" i="68"/>
  <c r="D26" i="68"/>
  <c r="C26" i="68"/>
  <c r="B26" i="68"/>
  <c r="N26" i="68" s="1"/>
  <c r="M25" i="63"/>
  <c r="M26" i="63" s="1"/>
  <c r="L25" i="63"/>
  <c r="L26" i="63" s="1"/>
  <c r="K25" i="63"/>
  <c r="K26" i="63" s="1"/>
  <c r="J25" i="63"/>
  <c r="J26" i="63" s="1"/>
  <c r="I25" i="63"/>
  <c r="I26" i="63" s="1"/>
  <c r="H25" i="63"/>
  <c r="H26" i="63" s="1"/>
  <c r="G25" i="63"/>
  <c r="G26" i="63" s="1"/>
  <c r="F25" i="63"/>
  <c r="F26" i="63" s="1"/>
  <c r="N19" i="63" l="1"/>
  <c r="E20" i="68"/>
  <c r="D20" i="68"/>
  <c r="C20" i="68"/>
  <c r="B20" i="68"/>
  <c r="M27" i="68"/>
  <c r="L27" i="68"/>
  <c r="K27" i="68"/>
  <c r="J27" i="68"/>
  <c r="I27" i="68"/>
  <c r="H27" i="68"/>
  <c r="G27" i="68"/>
  <c r="F27" i="68"/>
  <c r="E27" i="68"/>
  <c r="D27" i="68"/>
  <c r="C27" i="68"/>
  <c r="B27" i="68"/>
  <c r="M20" i="68"/>
  <c r="L20" i="68"/>
  <c r="K20" i="68"/>
  <c r="J20" i="68"/>
  <c r="I20" i="68"/>
  <c r="H20" i="68"/>
  <c r="G20" i="68"/>
  <c r="F20" i="68"/>
  <c r="N18" i="68"/>
  <c r="N17" i="68"/>
  <c r="N16" i="68"/>
  <c r="N15" i="68"/>
  <c r="N14" i="68"/>
  <c r="N13" i="68"/>
  <c r="M10" i="68"/>
  <c r="L10" i="68"/>
  <c r="K10" i="68"/>
  <c r="J10" i="68"/>
  <c r="I10" i="68"/>
  <c r="H10" i="68"/>
  <c r="G10" i="68"/>
  <c r="F10" i="68"/>
  <c r="E10" i="68"/>
  <c r="D10" i="68"/>
  <c r="C10" i="68"/>
  <c r="B10" i="68"/>
  <c r="N9" i="68"/>
  <c r="N8" i="68"/>
  <c r="N7" i="68"/>
  <c r="N6" i="68"/>
  <c r="N5" i="68"/>
  <c r="N4" i="68"/>
  <c r="N27" i="68" l="1"/>
  <c r="D21" i="68"/>
  <c r="H21" i="68"/>
  <c r="H29" i="68" s="1"/>
  <c r="L21" i="68"/>
  <c r="L29" i="68" s="1"/>
  <c r="D29" i="68"/>
  <c r="K21" i="68"/>
  <c r="K29" i="68" s="1"/>
  <c r="G21" i="68"/>
  <c r="G29" i="68" s="1"/>
  <c r="N20" i="68"/>
  <c r="E21" i="68"/>
  <c r="E29" i="68" s="1"/>
  <c r="I21" i="68"/>
  <c r="I29" i="68" s="1"/>
  <c r="M21" i="68"/>
  <c r="M29" i="68" s="1"/>
  <c r="F21" i="68"/>
  <c r="F29" i="68" s="1"/>
  <c r="J21" i="68"/>
  <c r="J29" i="68" s="1"/>
  <c r="B21" i="68"/>
  <c r="B29" i="68" s="1"/>
  <c r="C21" i="68"/>
  <c r="C29" i="68" s="1"/>
  <c r="N10" i="68"/>
  <c r="N21" i="68" l="1"/>
  <c r="N29" i="68" s="1"/>
  <c r="N30" i="32" l="1"/>
  <c r="E39" i="67"/>
  <c r="D10" i="67"/>
  <c r="D39" i="67"/>
  <c r="C39" i="67"/>
  <c r="C10" i="67"/>
  <c r="B39" i="67"/>
  <c r="N35" i="67" l="1"/>
  <c r="N24" i="57"/>
  <c r="N23" i="57"/>
  <c r="I24" i="57"/>
  <c r="J24" i="57"/>
  <c r="K24" i="57"/>
  <c r="K25" i="57" s="1"/>
  <c r="L24" i="57"/>
  <c r="M24" i="57"/>
  <c r="N22" i="57"/>
  <c r="M25" i="57"/>
  <c r="L25" i="57"/>
  <c r="J25" i="57"/>
  <c r="I25" i="57"/>
  <c r="H25" i="57"/>
  <c r="G25" i="57"/>
  <c r="F25" i="57"/>
  <c r="E25" i="57"/>
  <c r="D25" i="57"/>
  <c r="C25" i="57"/>
  <c r="B25" i="57"/>
  <c r="C25" i="63"/>
  <c r="C26" i="63" s="1"/>
  <c r="B25" i="63"/>
  <c r="D25" i="63"/>
  <c r="D26" i="63" s="1"/>
  <c r="E25" i="63"/>
  <c r="E26" i="63" s="1"/>
  <c r="B26" i="63" l="1"/>
  <c r="N25" i="63"/>
  <c r="N26" i="63" s="1"/>
  <c r="N25" i="57"/>
  <c r="L38" i="59" l="1"/>
  <c r="M10" i="59" l="1"/>
  <c r="L10" i="59" l="1"/>
  <c r="K10" i="59"/>
  <c r="J10" i="59"/>
  <c r="I10" i="59"/>
  <c r="H10" i="59"/>
  <c r="G10" i="59"/>
  <c r="F10" i="59" l="1"/>
  <c r="N39" i="67" l="1"/>
  <c r="M37" i="67"/>
  <c r="L37" i="67"/>
  <c r="K37" i="67"/>
  <c r="J37" i="67"/>
  <c r="I37" i="67"/>
  <c r="H37" i="67"/>
  <c r="G37" i="67"/>
  <c r="F37" i="67"/>
  <c r="E37" i="67"/>
  <c r="D37" i="67"/>
  <c r="C37" i="67"/>
  <c r="B37" i="67"/>
  <c r="N36" i="67"/>
  <c r="N34" i="67"/>
  <c r="N33" i="67"/>
  <c r="N32" i="67"/>
  <c r="N31" i="67"/>
  <c r="N30" i="67"/>
  <c r="N29" i="67"/>
  <c r="N28" i="67"/>
  <c r="M25" i="67"/>
  <c r="L25" i="67"/>
  <c r="K25" i="67"/>
  <c r="J25" i="67"/>
  <c r="I25" i="67"/>
  <c r="H25" i="67"/>
  <c r="G25" i="67"/>
  <c r="F25" i="67"/>
  <c r="E25" i="67"/>
  <c r="D25" i="67"/>
  <c r="B25" i="67"/>
  <c r="N24" i="67"/>
  <c r="N23" i="67"/>
  <c r="N22" i="67"/>
  <c r="N21" i="67"/>
  <c r="N20" i="67"/>
  <c r="N19" i="67"/>
  <c r="N18" i="67"/>
  <c r="N17" i="67"/>
  <c r="N16" i="67"/>
  <c r="N15" i="67"/>
  <c r="N14" i="67"/>
  <c r="N13" i="67"/>
  <c r="N12" i="67"/>
  <c r="N11" i="67"/>
  <c r="C25" i="67"/>
  <c r="N9" i="67"/>
  <c r="N8" i="67"/>
  <c r="N7" i="67"/>
  <c r="N6" i="67"/>
  <c r="N5" i="67"/>
  <c r="N4" i="67"/>
  <c r="F41" i="67" l="1"/>
  <c r="M41" i="67"/>
  <c r="L41" i="67"/>
  <c r="K41" i="67"/>
  <c r="J41" i="67"/>
  <c r="I41" i="67"/>
  <c r="H41" i="67"/>
  <c r="E41" i="67"/>
  <c r="B41" i="67"/>
  <c r="G41" i="67"/>
  <c r="D41" i="67"/>
  <c r="C41" i="67"/>
  <c r="N37" i="67"/>
  <c r="N25" i="67"/>
  <c r="N10" i="67"/>
  <c r="J38" i="58"/>
  <c r="K38" i="58"/>
  <c r="K39" i="58" s="1"/>
  <c r="L38" i="58"/>
  <c r="L39" i="58" s="1"/>
  <c r="M38" i="58"/>
  <c r="M39" i="58" s="1"/>
  <c r="C39" i="58"/>
  <c r="D39" i="58"/>
  <c r="E39" i="58"/>
  <c r="F39" i="58"/>
  <c r="G39" i="58"/>
  <c r="H39" i="58"/>
  <c r="I39" i="58"/>
  <c r="J39" i="58"/>
  <c r="B39" i="58"/>
  <c r="N37" i="58"/>
  <c r="N36" i="58"/>
  <c r="C38" i="62"/>
  <c r="B38" i="62"/>
  <c r="C39" i="62"/>
  <c r="F39" i="62"/>
  <c r="G39" i="62"/>
  <c r="H39" i="62"/>
  <c r="I39" i="62"/>
  <c r="J39" i="62"/>
  <c r="K39" i="62"/>
  <c r="L39" i="62"/>
  <c r="M39" i="62"/>
  <c r="N39" i="62"/>
  <c r="B39" i="62"/>
  <c r="D38" i="62"/>
  <c r="D39" i="62" s="1"/>
  <c r="E38" i="62"/>
  <c r="E39" i="62" s="1"/>
  <c r="E34" i="62"/>
  <c r="N38" i="58" l="1"/>
  <c r="N41" i="67"/>
  <c r="N39" i="58"/>
  <c r="M24" i="54"/>
  <c r="M23" i="54"/>
  <c r="M4" i="54"/>
  <c r="M20" i="54"/>
  <c r="M18" i="55"/>
  <c r="M17" i="55"/>
  <c r="M16" i="55"/>
  <c r="M15" i="55"/>
  <c r="M14" i="55"/>
  <c r="L2" i="60" l="1"/>
  <c r="E2" i="60"/>
  <c r="D2" i="60"/>
  <c r="C2" i="60"/>
  <c r="B2" i="60"/>
  <c r="E6" i="55"/>
  <c r="K6" i="55"/>
  <c r="E7" i="55"/>
  <c r="K7" i="55"/>
  <c r="M3" i="66" l="1"/>
  <c r="L3" i="66"/>
  <c r="K3" i="66"/>
  <c r="J3" i="66"/>
  <c r="I3" i="66"/>
  <c r="H3" i="66"/>
  <c r="G3" i="66"/>
  <c r="F3" i="66"/>
  <c r="E3" i="66"/>
  <c r="D3" i="66"/>
  <c r="C3" i="66"/>
  <c r="B3" i="66"/>
  <c r="N2" i="66"/>
  <c r="N3" i="66" s="1"/>
  <c r="N2" i="65" l="1"/>
  <c r="M4" i="65"/>
  <c r="L4" i="65"/>
  <c r="K4" i="65"/>
  <c r="J4" i="65"/>
  <c r="I4" i="65"/>
  <c r="H4" i="65"/>
  <c r="G4" i="65"/>
  <c r="F4" i="65"/>
  <c r="E4" i="65"/>
  <c r="D4" i="65"/>
  <c r="C4" i="65"/>
  <c r="B4" i="65"/>
  <c r="N3" i="65"/>
  <c r="C2" i="64"/>
  <c r="E2" i="64"/>
  <c r="E4" i="64" s="1"/>
  <c r="M2" i="64"/>
  <c r="K2" i="64"/>
  <c r="D3" i="64"/>
  <c r="M4" i="64"/>
  <c r="L4" i="64"/>
  <c r="K4" i="64"/>
  <c r="J4" i="64"/>
  <c r="I4" i="64"/>
  <c r="H4" i="64"/>
  <c r="G4" i="64"/>
  <c r="F4" i="64"/>
  <c r="D4" i="64"/>
  <c r="C4" i="64"/>
  <c r="B4" i="64"/>
  <c r="N3" i="64"/>
  <c r="N2" i="64"/>
  <c r="N6" i="49"/>
  <c r="N4" i="65" l="1"/>
  <c r="N4" i="64"/>
  <c r="K20" i="63"/>
  <c r="K28" i="63" s="1"/>
  <c r="D34" i="62"/>
  <c r="C34" i="62"/>
  <c r="B34" i="62"/>
  <c r="N33" i="62"/>
  <c r="N32" i="62"/>
  <c r="N31" i="62"/>
  <c r="N30" i="62"/>
  <c r="N29" i="62"/>
  <c r="N28" i="62"/>
  <c r="M25" i="62"/>
  <c r="M42" i="62" s="1"/>
  <c r="L25" i="62"/>
  <c r="L42" i="62" s="1"/>
  <c r="K25" i="62"/>
  <c r="K42" i="62" s="1"/>
  <c r="J25" i="62"/>
  <c r="J42" i="62" s="1"/>
  <c r="I25" i="62"/>
  <c r="I42" i="62" s="1"/>
  <c r="H25" i="62"/>
  <c r="H42" i="62" s="1"/>
  <c r="G25" i="62"/>
  <c r="G42" i="62" s="1"/>
  <c r="F25" i="62"/>
  <c r="F42" i="62" s="1"/>
  <c r="E25" i="62"/>
  <c r="E42" i="62" s="1"/>
  <c r="D25" i="62"/>
  <c r="D42" i="62" s="1"/>
  <c r="C25" i="62"/>
  <c r="B25" i="62"/>
  <c r="N24" i="62"/>
  <c r="N23" i="62"/>
  <c r="N22" i="62"/>
  <c r="N21" i="62"/>
  <c r="N20" i="62"/>
  <c r="N19" i="62"/>
  <c r="N18" i="62"/>
  <c r="N17" i="62"/>
  <c r="N16" i="62"/>
  <c r="N15" i="62"/>
  <c r="N14" i="62"/>
  <c r="N13" i="62"/>
  <c r="N12" i="62"/>
  <c r="N11" i="62"/>
  <c r="N10" i="62"/>
  <c r="N9" i="62"/>
  <c r="N8" i="62"/>
  <c r="N7" i="62"/>
  <c r="N6" i="62"/>
  <c r="N5" i="62"/>
  <c r="N4" i="62"/>
  <c r="C42" i="62" l="1"/>
  <c r="B42" i="62"/>
  <c r="G20" i="63"/>
  <c r="G28" i="63" s="1"/>
  <c r="J20" i="63"/>
  <c r="J28" i="63" s="1"/>
  <c r="F20" i="63"/>
  <c r="F28" i="63" s="1"/>
  <c r="H20" i="63"/>
  <c r="H28" i="63" s="1"/>
  <c r="L20" i="63"/>
  <c r="L28" i="63" s="1"/>
  <c r="I20" i="63"/>
  <c r="I28" i="63" s="1"/>
  <c r="M20" i="63"/>
  <c r="M28" i="63" s="1"/>
  <c r="C20" i="63"/>
  <c r="C28" i="63" s="1"/>
  <c r="D20" i="63"/>
  <c r="D28" i="63" s="1"/>
  <c r="N10" i="63"/>
  <c r="E20" i="63"/>
  <c r="E28" i="63" s="1"/>
  <c r="B20" i="63"/>
  <c r="B28" i="63" s="1"/>
  <c r="N34" i="62"/>
  <c r="N25" i="62"/>
  <c r="M3" i="61"/>
  <c r="L3" i="61"/>
  <c r="K3" i="61"/>
  <c r="J3" i="61"/>
  <c r="I3" i="61"/>
  <c r="H3" i="61"/>
  <c r="G3" i="61"/>
  <c r="F3" i="61"/>
  <c r="E3" i="61"/>
  <c r="D3" i="61"/>
  <c r="C3" i="61"/>
  <c r="B3" i="61"/>
  <c r="N2" i="61"/>
  <c r="N3" i="61" s="1"/>
  <c r="N2" i="60"/>
  <c r="N3" i="60"/>
  <c r="B4" i="60"/>
  <c r="C4" i="60"/>
  <c r="D4" i="60"/>
  <c r="E4" i="60"/>
  <c r="F4" i="60"/>
  <c r="G4" i="60"/>
  <c r="H4" i="60"/>
  <c r="I4" i="60"/>
  <c r="J4" i="60"/>
  <c r="K4" i="60"/>
  <c r="L4" i="60"/>
  <c r="M4" i="60"/>
  <c r="N42" i="62" l="1"/>
  <c r="N20" i="63"/>
  <c r="N28" i="63" s="1"/>
  <c r="N4" i="60"/>
  <c r="D25" i="59"/>
  <c r="C10" i="59"/>
  <c r="B10" i="59"/>
  <c r="N38" i="59" l="1"/>
  <c r="M36" i="59"/>
  <c r="L36" i="59"/>
  <c r="K36" i="59"/>
  <c r="J36" i="59"/>
  <c r="I36" i="59"/>
  <c r="H36" i="59"/>
  <c r="G36" i="59"/>
  <c r="F36" i="59"/>
  <c r="E36" i="59"/>
  <c r="D36" i="59"/>
  <c r="C36" i="59"/>
  <c r="B36" i="59"/>
  <c r="N35" i="59"/>
  <c r="N34" i="59"/>
  <c r="N33" i="59"/>
  <c r="N32" i="59"/>
  <c r="N31" i="59"/>
  <c r="N30" i="59"/>
  <c r="N29" i="59"/>
  <c r="N28" i="59"/>
  <c r="N24" i="59"/>
  <c r="N23" i="59"/>
  <c r="N22" i="59"/>
  <c r="N21" i="59"/>
  <c r="N20" i="59"/>
  <c r="N19" i="59"/>
  <c r="N18" i="59"/>
  <c r="N17" i="59"/>
  <c r="N16" i="59"/>
  <c r="N15" i="59"/>
  <c r="N14" i="59"/>
  <c r="N13" i="59"/>
  <c r="N12" i="59"/>
  <c r="N11" i="59"/>
  <c r="M25" i="59"/>
  <c r="M40" i="59" s="1"/>
  <c r="L25" i="59"/>
  <c r="K25" i="59"/>
  <c r="J25" i="59"/>
  <c r="I25" i="59"/>
  <c r="H25" i="59"/>
  <c r="G25" i="59"/>
  <c r="F25" i="59"/>
  <c r="E25" i="59"/>
  <c r="C25" i="59"/>
  <c r="B25" i="59"/>
  <c r="N9" i="59"/>
  <c r="N8" i="59"/>
  <c r="N7" i="59"/>
  <c r="N6" i="59"/>
  <c r="N5" i="59"/>
  <c r="N4" i="59"/>
  <c r="L40" i="59" l="1"/>
  <c r="J40" i="59"/>
  <c r="I40" i="59"/>
  <c r="H40" i="59"/>
  <c r="F40" i="59"/>
  <c r="E40" i="59"/>
  <c r="D40" i="59"/>
  <c r="C40" i="59"/>
  <c r="G40" i="59"/>
  <c r="K40" i="59"/>
  <c r="N36" i="59"/>
  <c r="N25" i="59"/>
  <c r="B40" i="59"/>
  <c r="N10" i="59"/>
  <c r="N40" i="59" l="1"/>
  <c r="M10" i="56"/>
  <c r="L10" i="56"/>
  <c r="F10" i="56"/>
  <c r="G10" i="56"/>
  <c r="C10" i="56"/>
  <c r="B10" i="56"/>
  <c r="H10" i="56"/>
  <c r="I10" i="56"/>
  <c r="J10" i="56"/>
  <c r="K10" i="56"/>
  <c r="E10" i="56"/>
  <c r="E22" i="56"/>
  <c r="D10" i="56"/>
  <c r="M18" i="57" l="1"/>
  <c r="K18" i="57"/>
  <c r="J18" i="57"/>
  <c r="I18" i="57"/>
  <c r="H18" i="57"/>
  <c r="G18" i="57"/>
  <c r="E18" i="57"/>
  <c r="D18" i="57"/>
  <c r="C18" i="57"/>
  <c r="B18" i="57"/>
  <c r="N17" i="57"/>
  <c r="N16" i="57"/>
  <c r="N15" i="57"/>
  <c r="N14" i="57"/>
  <c r="L18" i="57"/>
  <c r="M10" i="57"/>
  <c r="L10" i="57"/>
  <c r="J10" i="57"/>
  <c r="I10" i="57"/>
  <c r="H10" i="57"/>
  <c r="G10" i="57"/>
  <c r="F10" i="57"/>
  <c r="D10" i="57"/>
  <c r="C10" i="57"/>
  <c r="B10" i="57"/>
  <c r="N9" i="57"/>
  <c r="N8" i="57"/>
  <c r="N7" i="57"/>
  <c r="N6" i="57"/>
  <c r="K10" i="57"/>
  <c r="N5" i="57"/>
  <c r="N4" i="57"/>
  <c r="M34" i="58"/>
  <c r="L34" i="58"/>
  <c r="K34" i="58"/>
  <c r="J34" i="58"/>
  <c r="I34" i="58"/>
  <c r="H34" i="58"/>
  <c r="G34" i="58"/>
  <c r="F34" i="58"/>
  <c r="E34" i="58"/>
  <c r="D34" i="58"/>
  <c r="C34" i="58"/>
  <c r="B34" i="58"/>
  <c r="N33" i="58"/>
  <c r="N32" i="58"/>
  <c r="N31" i="58"/>
  <c r="N30" i="58"/>
  <c r="N29" i="58"/>
  <c r="N28" i="58"/>
  <c r="M25" i="58"/>
  <c r="L25" i="58"/>
  <c r="K25" i="58"/>
  <c r="J25" i="58"/>
  <c r="I25" i="58"/>
  <c r="I41" i="58" s="1"/>
  <c r="H25" i="58"/>
  <c r="H41" i="58" s="1"/>
  <c r="G25" i="58"/>
  <c r="F25" i="58"/>
  <c r="D25" i="58"/>
  <c r="D41" i="58" s="1"/>
  <c r="C25" i="58"/>
  <c r="C41" i="58" s="1"/>
  <c r="B25" i="58"/>
  <c r="N24" i="58"/>
  <c r="N23" i="58"/>
  <c r="N22" i="58"/>
  <c r="N21" i="58"/>
  <c r="N20" i="58"/>
  <c r="N19" i="58"/>
  <c r="N18" i="58"/>
  <c r="N17" i="58"/>
  <c r="N16" i="58"/>
  <c r="N15" i="58"/>
  <c r="N14" i="58"/>
  <c r="N13" i="58"/>
  <c r="N12" i="58"/>
  <c r="N11" i="58"/>
  <c r="N10" i="58"/>
  <c r="N9" i="58"/>
  <c r="N8" i="58"/>
  <c r="E25" i="58"/>
  <c r="E41" i="58" s="1"/>
  <c r="N6" i="58"/>
  <c r="N5" i="58"/>
  <c r="N4" i="58"/>
  <c r="L41" i="58" l="1"/>
  <c r="M41" i="58"/>
  <c r="B19" i="57"/>
  <c r="B28" i="57" s="1"/>
  <c r="F41" i="58"/>
  <c r="J41" i="58"/>
  <c r="B41" i="58"/>
  <c r="G41" i="58"/>
  <c r="K41" i="58"/>
  <c r="I19" i="57"/>
  <c r="I28" i="57" s="1"/>
  <c r="M19" i="57"/>
  <c r="M28" i="57" s="1"/>
  <c r="L19" i="57"/>
  <c r="L28" i="57" s="1"/>
  <c r="K19" i="57"/>
  <c r="K28" i="57" s="1"/>
  <c r="J19" i="57"/>
  <c r="J28" i="57" s="1"/>
  <c r="H19" i="57"/>
  <c r="H28" i="57" s="1"/>
  <c r="G19" i="57"/>
  <c r="G28" i="57" s="1"/>
  <c r="D19" i="57"/>
  <c r="D28" i="57" s="1"/>
  <c r="C19" i="57"/>
  <c r="C28" i="57" s="1"/>
  <c r="F18" i="57"/>
  <c r="F19" i="57" s="1"/>
  <c r="F28" i="57" s="1"/>
  <c r="E10" i="57"/>
  <c r="E19" i="57" s="1"/>
  <c r="E28" i="57" s="1"/>
  <c r="N13" i="57"/>
  <c r="N34" i="58"/>
  <c r="N25" i="58"/>
  <c r="N41" i="58" s="1"/>
  <c r="N7" i="58"/>
  <c r="N38" i="56"/>
  <c r="M36" i="56"/>
  <c r="L36" i="56"/>
  <c r="K36" i="56"/>
  <c r="J36" i="56"/>
  <c r="I36" i="56"/>
  <c r="H36" i="56"/>
  <c r="G36" i="56"/>
  <c r="F36" i="56"/>
  <c r="E36" i="56"/>
  <c r="D36" i="56"/>
  <c r="C36" i="56"/>
  <c r="B36" i="56"/>
  <c r="N35" i="56"/>
  <c r="N34" i="56"/>
  <c r="N33" i="56"/>
  <c r="N32" i="56"/>
  <c r="N31" i="56"/>
  <c r="N30" i="56"/>
  <c r="N29" i="56"/>
  <c r="N28" i="56"/>
  <c r="M25" i="56"/>
  <c r="M40" i="56" s="1"/>
  <c r="L25" i="56"/>
  <c r="J25" i="56"/>
  <c r="I25" i="56"/>
  <c r="H25" i="56"/>
  <c r="F25" i="56"/>
  <c r="E25" i="56"/>
  <c r="D25" i="56"/>
  <c r="B25" i="56"/>
  <c r="N24" i="56"/>
  <c r="N23" i="56"/>
  <c r="N22" i="56"/>
  <c r="N21" i="56"/>
  <c r="N20" i="56"/>
  <c r="N19" i="56"/>
  <c r="N18" i="56"/>
  <c r="N17" i="56"/>
  <c r="N16" i="56"/>
  <c r="N15" i="56"/>
  <c r="N14" i="56"/>
  <c r="N13" i="56"/>
  <c r="N12" i="56"/>
  <c r="N11" i="56"/>
  <c r="K25" i="56"/>
  <c r="G25" i="56"/>
  <c r="C25" i="56"/>
  <c r="N10" i="56"/>
  <c r="N9" i="56"/>
  <c r="N8" i="56"/>
  <c r="N7" i="56"/>
  <c r="N6" i="56"/>
  <c r="N5" i="56"/>
  <c r="N4" i="56"/>
  <c r="L40" i="56" l="1"/>
  <c r="I40" i="56"/>
  <c r="K40" i="56"/>
  <c r="E40" i="56"/>
  <c r="J40" i="56"/>
  <c r="C40" i="56"/>
  <c r="F40" i="56"/>
  <c r="G40" i="56"/>
  <c r="B40" i="56"/>
  <c r="N18" i="57"/>
  <c r="N10" i="57"/>
  <c r="H40" i="56"/>
  <c r="N36" i="56"/>
  <c r="D40" i="56"/>
  <c r="N25" i="56"/>
  <c r="B10" i="55"/>
  <c r="B20" i="55" s="1"/>
  <c r="B24" i="55" s="1"/>
  <c r="C10" i="55"/>
  <c r="D10" i="55"/>
  <c r="D20" i="55" s="1"/>
  <c r="D24" i="55" s="1"/>
  <c r="F10" i="55"/>
  <c r="G10" i="55"/>
  <c r="H10" i="55"/>
  <c r="I10" i="55"/>
  <c r="I20" i="55" s="1"/>
  <c r="I24" i="55" s="1"/>
  <c r="J10" i="55"/>
  <c r="J20" i="55" s="1"/>
  <c r="J24" i="55" s="1"/>
  <c r="N7" i="55"/>
  <c r="L10" i="55"/>
  <c r="M10" i="55"/>
  <c r="B19" i="55"/>
  <c r="C19" i="55"/>
  <c r="D19" i="55"/>
  <c r="E19" i="55"/>
  <c r="F14" i="55"/>
  <c r="F15" i="55"/>
  <c r="N15" i="55" s="1"/>
  <c r="F16" i="55"/>
  <c r="N16" i="55" s="1"/>
  <c r="F17" i="55"/>
  <c r="G19" i="55"/>
  <c r="H19" i="55"/>
  <c r="I19" i="55"/>
  <c r="J19" i="55"/>
  <c r="K19" i="55"/>
  <c r="L14" i="55"/>
  <c r="L15" i="55"/>
  <c r="L16" i="55"/>
  <c r="L17" i="55"/>
  <c r="M19" i="55"/>
  <c r="N22" i="55"/>
  <c r="E7" i="54"/>
  <c r="E28" i="54" s="1"/>
  <c r="N7" i="54"/>
  <c r="N18" i="55"/>
  <c r="N9" i="55"/>
  <c r="N8" i="55"/>
  <c r="N5" i="55"/>
  <c r="N4" i="55"/>
  <c r="N4" i="54"/>
  <c r="N5" i="54"/>
  <c r="N6" i="54"/>
  <c r="N8" i="54"/>
  <c r="N9" i="54"/>
  <c r="N10" i="54"/>
  <c r="N11" i="54"/>
  <c r="N12" i="54"/>
  <c r="N13" i="54"/>
  <c r="N14" i="54"/>
  <c r="N15" i="54"/>
  <c r="N16" i="54"/>
  <c r="N17" i="54"/>
  <c r="N18" i="54"/>
  <c r="N19" i="54"/>
  <c r="N20" i="54"/>
  <c r="N21" i="54"/>
  <c r="N22" i="54"/>
  <c r="N23" i="54"/>
  <c r="N24" i="54"/>
  <c r="N25" i="54"/>
  <c r="N26" i="54"/>
  <c r="N27" i="54"/>
  <c r="B28" i="54"/>
  <c r="C28" i="54"/>
  <c r="D28" i="54"/>
  <c r="F28" i="54"/>
  <c r="G28" i="54"/>
  <c r="H28" i="54"/>
  <c r="I28" i="54"/>
  <c r="J28" i="54"/>
  <c r="K28" i="54"/>
  <c r="M28" i="54"/>
  <c r="N31" i="54"/>
  <c r="N32" i="54"/>
  <c r="N33" i="54"/>
  <c r="N34" i="54"/>
  <c r="N35" i="54"/>
  <c r="N36" i="54"/>
  <c r="B37" i="54"/>
  <c r="C37" i="54"/>
  <c r="D37" i="54"/>
  <c r="D41" i="54" s="1"/>
  <c r="E37" i="54"/>
  <c r="F37" i="54"/>
  <c r="G37" i="54"/>
  <c r="H37" i="54"/>
  <c r="I37" i="54"/>
  <c r="J37" i="54"/>
  <c r="K37" i="54"/>
  <c r="L37" i="54"/>
  <c r="M37" i="54"/>
  <c r="N39" i="54"/>
  <c r="C41" i="54"/>
  <c r="L28" i="54"/>
  <c r="C9" i="25"/>
  <c r="C16" i="25"/>
  <c r="C35" i="25"/>
  <c r="D9" i="25"/>
  <c r="D35" i="25"/>
  <c r="E9" i="25"/>
  <c r="E23" i="25" s="1"/>
  <c r="E35" i="25"/>
  <c r="F9" i="25"/>
  <c r="F23" i="25" s="1"/>
  <c r="F35" i="25"/>
  <c r="F39" i="25"/>
  <c r="G6" i="25"/>
  <c r="G23" i="25" s="1"/>
  <c r="G39" i="25" s="1"/>
  <c r="G9" i="25"/>
  <c r="G35" i="25"/>
  <c r="H9" i="25"/>
  <c r="H23" i="25" s="1"/>
  <c r="H39" i="25" s="1"/>
  <c r="H35" i="25"/>
  <c r="I9" i="25"/>
  <c r="I23" i="25" s="1"/>
  <c r="I35" i="25"/>
  <c r="J9" i="25"/>
  <c r="J23" i="25" s="1"/>
  <c r="J35" i="25"/>
  <c r="K9" i="25"/>
  <c r="K23" i="25" s="1"/>
  <c r="K39" i="25" s="1"/>
  <c r="K35" i="25"/>
  <c r="L9" i="25"/>
  <c r="L23" i="25" s="1"/>
  <c r="L39" i="25" s="1"/>
  <c r="L35" i="25"/>
  <c r="B9" i="25"/>
  <c r="B23" i="25" s="1"/>
  <c r="B39" i="25" s="1"/>
  <c r="B35" i="25"/>
  <c r="N37" i="25"/>
  <c r="M9" i="25"/>
  <c r="M23" i="25" s="1"/>
  <c r="M39" i="25" s="1"/>
  <c r="M35" i="25"/>
  <c r="N4" i="25"/>
  <c r="N5" i="25"/>
  <c r="N7" i="25"/>
  <c r="N8" i="25"/>
  <c r="N10" i="25"/>
  <c r="N12" i="25"/>
  <c r="N13" i="25"/>
  <c r="N14" i="25"/>
  <c r="N15" i="25"/>
  <c r="N17" i="25"/>
  <c r="N18" i="25"/>
  <c r="N19" i="25"/>
  <c r="N20" i="25"/>
  <c r="N21" i="25"/>
  <c r="N22" i="25"/>
  <c r="N35" i="26"/>
  <c r="C9" i="26"/>
  <c r="C23" i="26" s="1"/>
  <c r="C37" i="26" s="1"/>
  <c r="C33" i="26"/>
  <c r="D9" i="26"/>
  <c r="D23" i="26" s="1"/>
  <c r="D37" i="26" s="1"/>
  <c r="D33" i="26"/>
  <c r="E9" i="26"/>
  <c r="E23" i="26" s="1"/>
  <c r="E33" i="26"/>
  <c r="F9" i="26"/>
  <c r="F23" i="26" s="1"/>
  <c r="F37" i="26" s="1"/>
  <c r="F33" i="26"/>
  <c r="G9" i="26"/>
  <c r="G23" i="26" s="1"/>
  <c r="G33" i="26"/>
  <c r="G37" i="26"/>
  <c r="H9" i="26"/>
  <c r="H23" i="26" s="1"/>
  <c r="H33" i="26"/>
  <c r="H37" i="26"/>
  <c r="I9" i="26"/>
  <c r="I23" i="26" s="1"/>
  <c r="I37" i="26" s="1"/>
  <c r="I33" i="26"/>
  <c r="J9" i="26"/>
  <c r="J23" i="26" s="1"/>
  <c r="J33" i="26"/>
  <c r="K9" i="26"/>
  <c r="K23" i="26" s="1"/>
  <c r="K37" i="26" s="1"/>
  <c r="K33" i="26"/>
  <c r="L9" i="26"/>
  <c r="L23" i="26" s="1"/>
  <c r="L37" i="26" s="1"/>
  <c r="L33" i="26"/>
  <c r="M9" i="26"/>
  <c r="M23" i="26" s="1"/>
  <c r="M33" i="26"/>
  <c r="N4" i="26"/>
  <c r="N5" i="26"/>
  <c r="N6" i="26"/>
  <c r="N7" i="26"/>
  <c r="N8" i="26"/>
  <c r="B9" i="26"/>
  <c r="N10" i="26"/>
  <c r="N12" i="26"/>
  <c r="N13" i="26"/>
  <c r="N14" i="26"/>
  <c r="N15" i="26"/>
  <c r="N16" i="26"/>
  <c r="N17" i="26"/>
  <c r="N18" i="26"/>
  <c r="N19" i="26"/>
  <c r="N20" i="26"/>
  <c r="N21" i="26"/>
  <c r="N22" i="26"/>
  <c r="B33" i="26"/>
  <c r="B23" i="26"/>
  <c r="B37" i="26"/>
  <c r="N37" i="27"/>
  <c r="N4" i="27"/>
  <c r="N5" i="27"/>
  <c r="N6" i="27"/>
  <c r="N7" i="27"/>
  <c r="N8" i="27"/>
  <c r="N9" i="27"/>
  <c r="N10" i="27"/>
  <c r="N24" i="27" s="1"/>
  <c r="N12" i="27"/>
  <c r="N13" i="27"/>
  <c r="N15" i="27"/>
  <c r="N16" i="27"/>
  <c r="N17" i="27"/>
  <c r="N18" i="27"/>
  <c r="N19" i="27"/>
  <c r="N20" i="27"/>
  <c r="N21" i="27"/>
  <c r="N22" i="27"/>
  <c r="N23" i="27"/>
  <c r="N27" i="27"/>
  <c r="N28" i="27"/>
  <c r="N29" i="27"/>
  <c r="N30" i="27"/>
  <c r="N31" i="27"/>
  <c r="N32" i="27"/>
  <c r="N33" i="27"/>
  <c r="N35" i="27"/>
  <c r="C24" i="27"/>
  <c r="C35" i="27"/>
  <c r="C39" i="27"/>
  <c r="D24" i="27"/>
  <c r="D39" i="27" s="1"/>
  <c r="D35" i="27"/>
  <c r="E24" i="27"/>
  <c r="E39" i="27" s="1"/>
  <c r="E35" i="27"/>
  <c r="F24" i="27"/>
  <c r="F35" i="27"/>
  <c r="G24" i="27"/>
  <c r="G35" i="27"/>
  <c r="G39" i="27" s="1"/>
  <c r="H24" i="27"/>
  <c r="H35" i="27"/>
  <c r="H39" i="27"/>
  <c r="I24" i="27"/>
  <c r="I39" i="27" s="1"/>
  <c r="I35" i="27"/>
  <c r="J24" i="27"/>
  <c r="J35" i="27"/>
  <c r="K24" i="27"/>
  <c r="K39" i="27" s="1"/>
  <c r="K35" i="27"/>
  <c r="L24" i="27"/>
  <c r="L35" i="27"/>
  <c r="L39" i="27"/>
  <c r="M24" i="27"/>
  <c r="M35" i="27"/>
  <c r="B24" i="27"/>
  <c r="B35" i="27"/>
  <c r="N37" i="28"/>
  <c r="N4" i="28"/>
  <c r="N5" i="28"/>
  <c r="N6" i="28"/>
  <c r="N7" i="28"/>
  <c r="N8" i="28"/>
  <c r="N9" i="28"/>
  <c r="N10" i="28"/>
  <c r="N12" i="28"/>
  <c r="N13" i="28"/>
  <c r="N15" i="28"/>
  <c r="N16" i="28"/>
  <c r="N17" i="28"/>
  <c r="N18" i="28"/>
  <c r="N19" i="28"/>
  <c r="N20" i="28"/>
  <c r="N21" i="28"/>
  <c r="N22" i="28"/>
  <c r="N23" i="28"/>
  <c r="N27" i="28"/>
  <c r="N28" i="28"/>
  <c r="N29" i="28"/>
  <c r="N30" i="28"/>
  <c r="N31" i="28"/>
  <c r="N32" i="28"/>
  <c r="N33" i="28"/>
  <c r="C24" i="28"/>
  <c r="C35" i="28"/>
  <c r="C39" i="28" s="1"/>
  <c r="D24" i="28"/>
  <c r="D39" i="28" s="1"/>
  <c r="D35" i="28"/>
  <c r="E24" i="28"/>
  <c r="E35" i="28"/>
  <c r="E39" i="28"/>
  <c r="F24" i="28"/>
  <c r="F39" i="28" s="1"/>
  <c r="F35" i="28"/>
  <c r="G24" i="28"/>
  <c r="G35" i="28"/>
  <c r="G39" i="28" s="1"/>
  <c r="H24" i="28"/>
  <c r="H35" i="28"/>
  <c r="H39" i="28" s="1"/>
  <c r="I24" i="28"/>
  <c r="I35" i="28"/>
  <c r="I39" i="28"/>
  <c r="J24" i="28"/>
  <c r="J35" i="28"/>
  <c r="K24" i="28"/>
  <c r="K35" i="28"/>
  <c r="L24" i="28"/>
  <c r="L39" i="28" s="1"/>
  <c r="L35" i="28"/>
  <c r="M24" i="28"/>
  <c r="M35" i="28"/>
  <c r="M39" i="28"/>
  <c r="B24" i="28"/>
  <c r="B35" i="28"/>
  <c r="N38" i="29"/>
  <c r="N4" i="29"/>
  <c r="N5" i="29"/>
  <c r="N6" i="29"/>
  <c r="N7" i="29"/>
  <c r="N8" i="29"/>
  <c r="I9" i="29"/>
  <c r="J9" i="29"/>
  <c r="K9" i="29"/>
  <c r="L9" i="29"/>
  <c r="L25" i="29" s="1"/>
  <c r="L40" i="29" s="1"/>
  <c r="M9" i="29"/>
  <c r="N10" i="29"/>
  <c r="N12" i="29"/>
  <c r="N13" i="29"/>
  <c r="N14" i="29"/>
  <c r="N16" i="29"/>
  <c r="N17" i="29"/>
  <c r="N18" i="29"/>
  <c r="N19" i="29"/>
  <c r="N20" i="29"/>
  <c r="N21" i="29"/>
  <c r="N22" i="29"/>
  <c r="N23" i="29"/>
  <c r="N24" i="29"/>
  <c r="B36" i="29"/>
  <c r="C36" i="29"/>
  <c r="D36" i="29"/>
  <c r="E36" i="29"/>
  <c r="F36" i="29"/>
  <c r="G36" i="29"/>
  <c r="H36" i="29"/>
  <c r="I36" i="29"/>
  <c r="J36" i="29"/>
  <c r="K36" i="29"/>
  <c r="L36" i="29"/>
  <c r="M36" i="29"/>
  <c r="C25" i="29"/>
  <c r="C40" i="29"/>
  <c r="D25" i="29"/>
  <c r="D40" i="29" s="1"/>
  <c r="E25" i="29"/>
  <c r="E40" i="29" s="1"/>
  <c r="F25" i="29"/>
  <c r="F40" i="29" s="1"/>
  <c r="G25" i="29"/>
  <c r="G40" i="29" s="1"/>
  <c r="H25" i="29"/>
  <c r="H40" i="29" s="1"/>
  <c r="I25" i="29"/>
  <c r="J25" i="29"/>
  <c r="J40" i="29" s="1"/>
  <c r="K25" i="29"/>
  <c r="K40" i="29"/>
  <c r="M25" i="29"/>
  <c r="B25" i="29"/>
  <c r="N38" i="30"/>
  <c r="C9" i="30"/>
  <c r="C25" i="30" s="1"/>
  <c r="C40" i="30" s="1"/>
  <c r="C36" i="30"/>
  <c r="D9" i="30"/>
  <c r="D25" i="30" s="1"/>
  <c r="D36" i="30"/>
  <c r="D40" i="30"/>
  <c r="E9" i="30"/>
  <c r="E36" i="30"/>
  <c r="F9" i="30"/>
  <c r="F25" i="30" s="1"/>
  <c r="F36" i="30"/>
  <c r="G9" i="30"/>
  <c r="G25" i="30" s="1"/>
  <c r="G40" i="30" s="1"/>
  <c r="G36" i="30"/>
  <c r="H9" i="30"/>
  <c r="H25" i="30" s="1"/>
  <c r="H40" i="30" s="1"/>
  <c r="H36" i="30"/>
  <c r="I9" i="30"/>
  <c r="I17" i="30"/>
  <c r="I36" i="30"/>
  <c r="J9" i="30"/>
  <c r="J25" i="30" s="1"/>
  <c r="J36" i="30"/>
  <c r="K9" i="30"/>
  <c r="K25" i="30" s="1"/>
  <c r="K40" i="30" s="1"/>
  <c r="K36" i="30"/>
  <c r="L9" i="30"/>
  <c r="L25" i="30" s="1"/>
  <c r="L40" i="30" s="1"/>
  <c r="L36" i="30"/>
  <c r="M9" i="30"/>
  <c r="M25" i="30" s="1"/>
  <c r="M36" i="30"/>
  <c r="M40" i="30"/>
  <c r="N4" i="30"/>
  <c r="N5" i="30"/>
  <c r="N6" i="30"/>
  <c r="N7" i="30"/>
  <c r="N8" i="30"/>
  <c r="B9" i="30"/>
  <c r="N10" i="30"/>
  <c r="N11" i="30"/>
  <c r="N12" i="30"/>
  <c r="N13" i="30"/>
  <c r="N14" i="30"/>
  <c r="N15" i="30"/>
  <c r="N16" i="30"/>
  <c r="N17" i="30"/>
  <c r="N18" i="30"/>
  <c r="N19" i="30"/>
  <c r="N20" i="30"/>
  <c r="N21" i="30"/>
  <c r="N22" i="30"/>
  <c r="N23" i="30"/>
  <c r="N24" i="30"/>
  <c r="B36" i="30"/>
  <c r="B25" i="30"/>
  <c r="N38" i="31"/>
  <c r="C9" i="31"/>
  <c r="C25" i="31"/>
  <c r="C36" i="31"/>
  <c r="D9" i="31"/>
  <c r="D25" i="31" s="1"/>
  <c r="D40" i="31" s="1"/>
  <c r="D36" i="31"/>
  <c r="E9" i="31"/>
  <c r="E25" i="31"/>
  <c r="E36" i="31"/>
  <c r="F9" i="31"/>
  <c r="F25" i="31"/>
  <c r="F36" i="31"/>
  <c r="G9" i="31"/>
  <c r="G25" i="31"/>
  <c r="G36" i="31"/>
  <c r="H9" i="31"/>
  <c r="H25" i="31" s="1"/>
  <c r="H40" i="31" s="1"/>
  <c r="H19" i="31"/>
  <c r="H36" i="31"/>
  <c r="I9" i="31"/>
  <c r="I25" i="31" s="1"/>
  <c r="I40" i="31" s="1"/>
  <c r="I36" i="31"/>
  <c r="J9" i="31"/>
  <c r="J25" i="31"/>
  <c r="J40" i="31" s="1"/>
  <c r="J36" i="31"/>
  <c r="K9" i="31"/>
  <c r="K25" i="31"/>
  <c r="K36" i="31"/>
  <c r="L9" i="31"/>
  <c r="L25" i="31"/>
  <c r="L40" i="31" s="1"/>
  <c r="L36" i="31"/>
  <c r="M9" i="31"/>
  <c r="M25" i="31"/>
  <c r="M40" i="31" s="1"/>
  <c r="M36" i="31"/>
  <c r="B9" i="31"/>
  <c r="B25" i="31"/>
  <c r="B36" i="31"/>
  <c r="N38" i="32"/>
  <c r="M38" i="32"/>
  <c r="M9" i="32"/>
  <c r="M25" i="32" s="1"/>
  <c r="M40" i="32" s="1"/>
  <c r="M36" i="32"/>
  <c r="C9" i="32"/>
  <c r="C25" i="32" s="1"/>
  <c r="C40" i="32" s="1"/>
  <c r="C36" i="32"/>
  <c r="D9" i="32"/>
  <c r="D25" i="32" s="1"/>
  <c r="D40" i="32" s="1"/>
  <c r="D36" i="32"/>
  <c r="E9" i="32"/>
  <c r="E25" i="32" s="1"/>
  <c r="E40" i="32" s="1"/>
  <c r="E36" i="32"/>
  <c r="F9" i="32"/>
  <c r="F25" i="32" s="1"/>
  <c r="F36" i="32"/>
  <c r="G9" i="32"/>
  <c r="G25" i="32" s="1"/>
  <c r="G40" i="32" s="1"/>
  <c r="G36" i="32"/>
  <c r="H9" i="32"/>
  <c r="H25" i="32" s="1"/>
  <c r="H40" i="32" s="1"/>
  <c r="H36" i="32"/>
  <c r="I9" i="32"/>
  <c r="I25" i="32" s="1"/>
  <c r="I40" i="32" s="1"/>
  <c r="I36" i="32"/>
  <c r="J9" i="32"/>
  <c r="J25" i="32" s="1"/>
  <c r="J40" i="32" s="1"/>
  <c r="J36" i="32"/>
  <c r="K9" i="32"/>
  <c r="K25" i="32" s="1"/>
  <c r="K36" i="32"/>
  <c r="L9" i="32"/>
  <c r="L25" i="32" s="1"/>
  <c r="L40" i="32" s="1"/>
  <c r="L36" i="32"/>
  <c r="N4" i="32"/>
  <c r="N5" i="32"/>
  <c r="N6" i="32"/>
  <c r="N7" i="32"/>
  <c r="N8" i="32"/>
  <c r="B9" i="32"/>
  <c r="N10" i="32"/>
  <c r="N11" i="32"/>
  <c r="N12" i="32"/>
  <c r="N13" i="32"/>
  <c r="N14" i="32"/>
  <c r="N15" i="32"/>
  <c r="N16" i="32"/>
  <c r="N17" i="32"/>
  <c r="N18" i="32"/>
  <c r="N19" i="32"/>
  <c r="N20" i="32"/>
  <c r="N21" i="32"/>
  <c r="N22" i="32"/>
  <c r="N23" i="32"/>
  <c r="N24" i="32"/>
  <c r="B36" i="32"/>
  <c r="N36" i="32" s="1"/>
  <c r="K2" i="41"/>
  <c r="C10" i="49"/>
  <c r="C16" i="49"/>
  <c r="C25" i="49" s="1"/>
  <c r="C29" i="49" s="1"/>
  <c r="C24" i="49"/>
  <c r="D10" i="49"/>
  <c r="D16" i="49"/>
  <c r="D24" i="49"/>
  <c r="E10" i="49"/>
  <c r="E25" i="49" s="1"/>
  <c r="E29" i="49" s="1"/>
  <c r="E16" i="49"/>
  <c r="E24" i="49"/>
  <c r="F7" i="49"/>
  <c r="F10" i="49" s="1"/>
  <c r="F15" i="49"/>
  <c r="F16" i="49" s="1"/>
  <c r="F24" i="49"/>
  <c r="G10" i="49"/>
  <c r="G16" i="49"/>
  <c r="G19" i="49"/>
  <c r="N19" i="49" s="1"/>
  <c r="G20" i="49"/>
  <c r="G21" i="49"/>
  <c r="N21" i="49" s="1"/>
  <c r="G22" i="49"/>
  <c r="N22" i="49" s="1"/>
  <c r="G24" i="49"/>
  <c r="G25" i="49" s="1"/>
  <c r="G29" i="49" s="1"/>
  <c r="H10" i="49"/>
  <c r="H16" i="49"/>
  <c r="H24" i="49"/>
  <c r="I10" i="49"/>
  <c r="I25" i="49" s="1"/>
  <c r="I29" i="49" s="1"/>
  <c r="I16" i="49"/>
  <c r="I24" i="49"/>
  <c r="J10" i="49"/>
  <c r="J16" i="49"/>
  <c r="J24" i="49"/>
  <c r="K10" i="49"/>
  <c r="K16" i="49"/>
  <c r="K24" i="49"/>
  <c r="L10" i="49"/>
  <c r="L16" i="49"/>
  <c r="L24" i="49"/>
  <c r="M10" i="49"/>
  <c r="M25" i="49" s="1"/>
  <c r="M29" i="49" s="1"/>
  <c r="M16" i="49"/>
  <c r="M24" i="49"/>
  <c r="B10" i="49"/>
  <c r="B16" i="49"/>
  <c r="B24" i="49"/>
  <c r="N27" i="49"/>
  <c r="C10" i="11"/>
  <c r="C16" i="11"/>
  <c r="C24" i="11"/>
  <c r="D10" i="11"/>
  <c r="D16" i="11"/>
  <c r="D24" i="11"/>
  <c r="E10" i="11"/>
  <c r="E16" i="11"/>
  <c r="E24" i="11"/>
  <c r="F10" i="11"/>
  <c r="F16" i="11"/>
  <c r="F24" i="11"/>
  <c r="G10" i="11"/>
  <c r="G16" i="11"/>
  <c r="G24" i="11"/>
  <c r="H10" i="11"/>
  <c r="H25" i="11" s="1"/>
  <c r="H29" i="11" s="1"/>
  <c r="H16" i="11"/>
  <c r="H24" i="11"/>
  <c r="I10" i="11"/>
  <c r="I16" i="11"/>
  <c r="I24" i="11"/>
  <c r="J10" i="11"/>
  <c r="J16" i="11"/>
  <c r="J24" i="11"/>
  <c r="K10" i="11"/>
  <c r="K16" i="11"/>
  <c r="K24" i="11"/>
  <c r="L10" i="11"/>
  <c r="L25" i="11" s="1"/>
  <c r="L29" i="11" s="1"/>
  <c r="L16" i="11"/>
  <c r="L24" i="11"/>
  <c r="M10" i="11"/>
  <c r="M16" i="11"/>
  <c r="M24" i="11"/>
  <c r="M25" i="11" s="1"/>
  <c r="M29" i="11" s="1"/>
  <c r="B10" i="11"/>
  <c r="B25" i="11" s="1"/>
  <c r="B29" i="11" s="1"/>
  <c r="N13" i="11"/>
  <c r="N14" i="11"/>
  <c r="N15" i="11"/>
  <c r="N16" i="11"/>
  <c r="N19" i="11"/>
  <c r="N20" i="11"/>
  <c r="N21" i="11"/>
  <c r="N22" i="11"/>
  <c r="N23" i="11"/>
  <c r="N27" i="11"/>
  <c r="B16" i="11"/>
  <c r="B24" i="11"/>
  <c r="N5" i="10"/>
  <c r="B12" i="9"/>
  <c r="F12" i="9"/>
  <c r="N12" i="9" s="1"/>
  <c r="L12" i="9"/>
  <c r="M12" i="9"/>
  <c r="B13" i="9"/>
  <c r="F13" i="9"/>
  <c r="L13" i="9"/>
  <c r="M13" i="9"/>
  <c r="N13" i="9"/>
  <c r="B14" i="9"/>
  <c r="F14" i="9"/>
  <c r="L14" i="9"/>
  <c r="L16" i="9" s="1"/>
  <c r="M14" i="9"/>
  <c r="B15" i="9"/>
  <c r="L15" i="9"/>
  <c r="M15" i="9"/>
  <c r="F11" i="9"/>
  <c r="L11" i="9"/>
  <c r="M11" i="9"/>
  <c r="N5" i="9"/>
  <c r="E6" i="9"/>
  <c r="K6" i="9"/>
  <c r="N6" i="9" s="1"/>
  <c r="E7" i="9"/>
  <c r="K7" i="9"/>
  <c r="N7" i="9"/>
  <c r="N4" i="9"/>
  <c r="N8" i="9" s="1"/>
  <c r="N12" i="8"/>
  <c r="N13" i="8"/>
  <c r="N14" i="8"/>
  <c r="B15" i="8"/>
  <c r="N15" i="8" s="1"/>
  <c r="N11" i="8"/>
  <c r="C8" i="8"/>
  <c r="D8" i="8"/>
  <c r="E8" i="8"/>
  <c r="F6" i="8"/>
  <c r="F8" i="8"/>
  <c r="F17" i="8" s="1"/>
  <c r="F21" i="8" s="1"/>
  <c r="G8" i="8"/>
  <c r="G17" i="8" s="1"/>
  <c r="G21" i="8" s="1"/>
  <c r="H8" i="8"/>
  <c r="I8" i="8"/>
  <c r="J8" i="8"/>
  <c r="K8" i="8"/>
  <c r="L6" i="8"/>
  <c r="L8" i="8" s="1"/>
  <c r="L17" i="8" s="1"/>
  <c r="L21" i="8" s="1"/>
  <c r="M8" i="8"/>
  <c r="N4" i="8"/>
  <c r="N5" i="8"/>
  <c r="N6" i="8"/>
  <c r="N7" i="8"/>
  <c r="N8" i="8"/>
  <c r="B8" i="8"/>
  <c r="C8" i="7"/>
  <c r="C17" i="7" s="1"/>
  <c r="C21" i="7" s="1"/>
  <c r="C16" i="7"/>
  <c r="D8" i="7"/>
  <c r="D16" i="7"/>
  <c r="D17" i="7" s="1"/>
  <c r="E6" i="7"/>
  <c r="E8" i="7" s="1"/>
  <c r="E16" i="7"/>
  <c r="F8" i="7"/>
  <c r="F16" i="7"/>
  <c r="F17" i="7"/>
  <c r="F21" i="7" s="1"/>
  <c r="G8" i="7"/>
  <c r="G16" i="7"/>
  <c r="H8" i="7"/>
  <c r="H16" i="7"/>
  <c r="I8" i="7"/>
  <c r="I16" i="7"/>
  <c r="I17" i="7" s="1"/>
  <c r="I21" i="7" s="1"/>
  <c r="J8" i="7"/>
  <c r="J17" i="7" s="1"/>
  <c r="J21" i="7" s="1"/>
  <c r="J16" i="7"/>
  <c r="K6" i="7"/>
  <c r="K8" i="7" s="1"/>
  <c r="K16" i="7"/>
  <c r="K17" i="7"/>
  <c r="K21" i="7" s="1"/>
  <c r="L8" i="7"/>
  <c r="L16" i="7"/>
  <c r="M8" i="7"/>
  <c r="M16" i="7"/>
  <c r="M17" i="7" s="1"/>
  <c r="M21" i="7" s="1"/>
  <c r="N4" i="7"/>
  <c r="N5" i="7"/>
  <c r="N7" i="7"/>
  <c r="N11" i="7"/>
  <c r="N12" i="7"/>
  <c r="N13" i="7"/>
  <c r="N14" i="7"/>
  <c r="N15" i="7"/>
  <c r="B8" i="7"/>
  <c r="B16" i="7"/>
  <c r="N19" i="6"/>
  <c r="C8" i="6"/>
  <c r="C16" i="6"/>
  <c r="C17" i="6" s="1"/>
  <c r="C21" i="6" s="1"/>
  <c r="D8" i="6"/>
  <c r="D17" i="6" s="1"/>
  <c r="D16" i="6"/>
  <c r="E8" i="6"/>
  <c r="E16" i="6"/>
  <c r="F8" i="6"/>
  <c r="F16" i="6"/>
  <c r="G8" i="6"/>
  <c r="G16" i="6"/>
  <c r="G17" i="6" s="1"/>
  <c r="G21" i="6" s="1"/>
  <c r="H8" i="6"/>
  <c r="H16" i="6"/>
  <c r="H17" i="6" s="1"/>
  <c r="H21" i="6" s="1"/>
  <c r="I8" i="6"/>
  <c r="I17" i="6" s="1"/>
  <c r="I16" i="6"/>
  <c r="J8" i="6"/>
  <c r="J16" i="6"/>
  <c r="K6" i="6"/>
  <c r="K8" i="6" s="1"/>
  <c r="K17" i="6" s="1"/>
  <c r="K21" i="6" s="1"/>
  <c r="K16" i="6"/>
  <c r="L8" i="6"/>
  <c r="L16" i="6"/>
  <c r="L17" i="6" s="1"/>
  <c r="L21" i="6" s="1"/>
  <c r="M8" i="6"/>
  <c r="M16" i="6"/>
  <c r="M17" i="6" s="1"/>
  <c r="M21" i="6" s="1"/>
  <c r="B8" i="6"/>
  <c r="N11" i="6"/>
  <c r="N12" i="6"/>
  <c r="N13" i="6"/>
  <c r="N14" i="6"/>
  <c r="N15" i="6"/>
  <c r="B16" i="6"/>
  <c r="N5" i="6"/>
  <c r="N6" i="6"/>
  <c r="N7" i="6"/>
  <c r="N4" i="6"/>
  <c r="C9" i="4"/>
  <c r="D9" i="4"/>
  <c r="E9" i="4"/>
  <c r="F9" i="4"/>
  <c r="G9" i="4"/>
  <c r="H9" i="4"/>
  <c r="H18" i="4" s="1"/>
  <c r="H22" i="4" s="1"/>
  <c r="H24" i="4" s="1"/>
  <c r="I9" i="4"/>
  <c r="J9" i="4"/>
  <c r="J18" i="4" s="1"/>
  <c r="J22" i="4" s="1"/>
  <c r="J24" i="4" s="1"/>
  <c r="K9" i="4"/>
  <c r="K18" i="4" s="1"/>
  <c r="K22" i="4" s="1"/>
  <c r="K24" i="4" s="1"/>
  <c r="L9" i="4"/>
  <c r="M9" i="4"/>
  <c r="N4" i="4"/>
  <c r="N5" i="4"/>
  <c r="N6" i="4"/>
  <c r="N7" i="4"/>
  <c r="N8" i="4"/>
  <c r="B9" i="4"/>
  <c r="J20" i="3"/>
  <c r="C10" i="2"/>
  <c r="D10" i="2"/>
  <c r="E10" i="2"/>
  <c r="E22" i="2" s="1"/>
  <c r="E24" i="2" s="1"/>
  <c r="F10" i="2"/>
  <c r="F22" i="2" s="1"/>
  <c r="F24" i="2" s="1"/>
  <c r="G10" i="2"/>
  <c r="H10" i="2"/>
  <c r="I10" i="2"/>
  <c r="J10" i="2"/>
  <c r="K10" i="2"/>
  <c r="L10" i="2"/>
  <c r="M10" i="2"/>
  <c r="N4" i="2"/>
  <c r="N5" i="2"/>
  <c r="N6" i="2"/>
  <c r="N7" i="2"/>
  <c r="N8" i="2"/>
  <c r="N9" i="2"/>
  <c r="B10" i="2"/>
  <c r="C9" i="1"/>
  <c r="C22" i="1"/>
  <c r="D9" i="1"/>
  <c r="D25" i="1" s="1"/>
  <c r="D22" i="1"/>
  <c r="E9" i="1"/>
  <c r="E25" i="1" s="1"/>
  <c r="E27" i="1" s="1"/>
  <c r="E22" i="1"/>
  <c r="F9" i="1"/>
  <c r="F22" i="1"/>
  <c r="F25" i="1"/>
  <c r="F27" i="1" s="1"/>
  <c r="G9" i="1"/>
  <c r="G25" i="1" s="1"/>
  <c r="G27" i="1" s="1"/>
  <c r="G22" i="1"/>
  <c r="H9" i="1"/>
  <c r="H22" i="1"/>
  <c r="I9" i="1"/>
  <c r="I25" i="1" s="1"/>
  <c r="I22" i="1"/>
  <c r="J9" i="1"/>
  <c r="J22" i="1"/>
  <c r="J25" i="1" s="1"/>
  <c r="J27" i="1" s="1"/>
  <c r="K9" i="1"/>
  <c r="K22" i="1"/>
  <c r="K25" i="1"/>
  <c r="K27" i="1" s="1"/>
  <c r="L9" i="1"/>
  <c r="L22" i="1"/>
  <c r="M9" i="1"/>
  <c r="M22" i="1"/>
  <c r="N4" i="1"/>
  <c r="N5" i="1"/>
  <c r="N6" i="1"/>
  <c r="N7" i="1"/>
  <c r="N8" i="1"/>
  <c r="N12" i="1"/>
  <c r="N13" i="1"/>
  <c r="N14" i="1"/>
  <c r="N15" i="1"/>
  <c r="N16" i="1"/>
  <c r="N17" i="1"/>
  <c r="N18" i="1"/>
  <c r="N19" i="1"/>
  <c r="N20" i="1"/>
  <c r="N21" i="1"/>
  <c r="B9" i="1"/>
  <c r="B22" i="1"/>
  <c r="G38" i="48"/>
  <c r="H38" i="48"/>
  <c r="N33" i="48"/>
  <c r="N34" i="48"/>
  <c r="N35" i="48"/>
  <c r="N36" i="48"/>
  <c r="N37" i="48"/>
  <c r="N32" i="48"/>
  <c r="N5" i="48"/>
  <c r="N6" i="48"/>
  <c r="N7" i="48"/>
  <c r="N8" i="48"/>
  <c r="L9" i="48"/>
  <c r="N9" i="48" s="1"/>
  <c r="L10" i="48"/>
  <c r="N11" i="48"/>
  <c r="N12" i="48"/>
  <c r="N13" i="48"/>
  <c r="N14" i="48"/>
  <c r="N15" i="48"/>
  <c r="N16" i="48"/>
  <c r="N17" i="48"/>
  <c r="N18" i="48"/>
  <c r="N19" i="48"/>
  <c r="N20" i="48"/>
  <c r="N21" i="48"/>
  <c r="N22" i="48"/>
  <c r="N23" i="48"/>
  <c r="N24" i="48"/>
  <c r="N25" i="48"/>
  <c r="N26" i="48"/>
  <c r="N27" i="48"/>
  <c r="N28" i="48"/>
  <c r="N4" i="48"/>
  <c r="N33" i="22"/>
  <c r="K34" i="22"/>
  <c r="L34" i="22"/>
  <c r="K35" i="22"/>
  <c r="L35" i="22"/>
  <c r="N35" i="22" s="1"/>
  <c r="K36" i="22"/>
  <c r="N36" i="22" s="1"/>
  <c r="L36" i="22"/>
  <c r="K37" i="22"/>
  <c r="N37" i="22" s="1"/>
  <c r="L37" i="22"/>
  <c r="B38" i="22"/>
  <c r="C38" i="22"/>
  <c r="D38" i="22"/>
  <c r="E38" i="22"/>
  <c r="F38" i="22"/>
  <c r="G38" i="22"/>
  <c r="H38" i="22"/>
  <c r="I38" i="22"/>
  <c r="J38" i="22"/>
  <c r="K32" i="22"/>
  <c r="L32" i="22"/>
  <c r="L38" i="22" s="1"/>
  <c r="M38" i="22"/>
  <c r="C29" i="22"/>
  <c r="D29" i="22"/>
  <c r="E26" i="22"/>
  <c r="E28" i="22"/>
  <c r="N28" i="22" s="1"/>
  <c r="F29" i="22"/>
  <c r="G29" i="22"/>
  <c r="G42" i="22" s="1"/>
  <c r="H29" i="22"/>
  <c r="H42" i="22" s="1"/>
  <c r="I29" i="22"/>
  <c r="I42" i="22" s="1"/>
  <c r="J29" i="22"/>
  <c r="K6" i="22"/>
  <c r="K7" i="22"/>
  <c r="K8" i="22"/>
  <c r="K9" i="22"/>
  <c r="N9" i="22" s="1"/>
  <c r="K10" i="22"/>
  <c r="K11" i="22"/>
  <c r="K12" i="22"/>
  <c r="K13" i="22"/>
  <c r="K14" i="22"/>
  <c r="N14" i="22" s="1"/>
  <c r="K15" i="22"/>
  <c r="K16" i="22"/>
  <c r="K17" i="22"/>
  <c r="K18" i="22"/>
  <c r="L6" i="22"/>
  <c r="L7" i="22"/>
  <c r="N7" i="22" s="1"/>
  <c r="L8" i="22"/>
  <c r="N8" i="22" s="1"/>
  <c r="L9" i="22"/>
  <c r="L10" i="22"/>
  <c r="L11" i="22"/>
  <c r="N11" i="22" s="1"/>
  <c r="L12" i="22"/>
  <c r="L13" i="22"/>
  <c r="N13" i="22" s="1"/>
  <c r="L14" i="22"/>
  <c r="L15" i="22"/>
  <c r="N15" i="22" s="1"/>
  <c r="L16" i="22"/>
  <c r="L17" i="22"/>
  <c r="L18" i="22"/>
  <c r="L21" i="22"/>
  <c r="N21" i="22" s="1"/>
  <c r="L22" i="22"/>
  <c r="N22" i="22" s="1"/>
  <c r="L23" i="22"/>
  <c r="L24" i="22"/>
  <c r="M26" i="22"/>
  <c r="M29" i="22" s="1"/>
  <c r="N4" i="22"/>
  <c r="N5" i="22"/>
  <c r="N6" i="22"/>
  <c r="N10" i="22"/>
  <c r="N17" i="22"/>
  <c r="N18" i="22"/>
  <c r="N19" i="22"/>
  <c r="N20" i="22"/>
  <c r="N23" i="22"/>
  <c r="N24" i="22"/>
  <c r="N25" i="22"/>
  <c r="N27" i="22"/>
  <c r="B29" i="22"/>
  <c r="H34" i="20"/>
  <c r="I34" i="20"/>
  <c r="J34" i="20"/>
  <c r="K34" i="20"/>
  <c r="L34" i="20"/>
  <c r="M34" i="20"/>
  <c r="G34" i="20"/>
  <c r="N15" i="16"/>
  <c r="H21" i="13"/>
  <c r="N21" i="13" s="1"/>
  <c r="N5" i="46"/>
  <c r="N6" i="46"/>
  <c r="N7" i="46"/>
  <c r="N8" i="46"/>
  <c r="N9" i="46"/>
  <c r="N10" i="46"/>
  <c r="B11" i="46"/>
  <c r="C11" i="46"/>
  <c r="D11" i="46"/>
  <c r="E11" i="46"/>
  <c r="E26" i="46" s="1"/>
  <c r="F11" i="46"/>
  <c r="G11" i="46"/>
  <c r="H11" i="46"/>
  <c r="H26" i="46" s="1"/>
  <c r="H41" i="46" s="1"/>
  <c r="I11" i="46"/>
  <c r="I26" i="46" s="1"/>
  <c r="J11" i="46"/>
  <c r="K11" i="46"/>
  <c r="L11" i="46"/>
  <c r="M11" i="46"/>
  <c r="M26" i="46" s="1"/>
  <c r="N12" i="46"/>
  <c r="N13" i="46"/>
  <c r="N14" i="46"/>
  <c r="N15" i="46"/>
  <c r="N16" i="46"/>
  <c r="N17" i="46"/>
  <c r="N18" i="46"/>
  <c r="N19" i="46"/>
  <c r="N20" i="46"/>
  <c r="N21" i="46"/>
  <c r="N22" i="46"/>
  <c r="N23" i="46"/>
  <c r="N24" i="46"/>
  <c r="N25" i="46"/>
  <c r="B26" i="46"/>
  <c r="C26" i="46"/>
  <c r="D26" i="46"/>
  <c r="D41" i="46" s="1"/>
  <c r="F26" i="46"/>
  <c r="G26" i="46"/>
  <c r="G41" i="46" s="1"/>
  <c r="J26" i="46"/>
  <c r="K26" i="46"/>
  <c r="L26" i="46"/>
  <c r="N4" i="46"/>
  <c r="B38" i="48"/>
  <c r="C38" i="48"/>
  <c r="D38" i="48"/>
  <c r="E38" i="48"/>
  <c r="F38" i="48"/>
  <c r="I38" i="48"/>
  <c r="J38" i="48"/>
  <c r="K38" i="48"/>
  <c r="L38" i="48"/>
  <c r="M38" i="48"/>
  <c r="N2" i="53"/>
  <c r="N3" i="53" s="1"/>
  <c r="M3" i="53"/>
  <c r="L3" i="53"/>
  <c r="K3" i="53"/>
  <c r="J3" i="53"/>
  <c r="I3" i="53"/>
  <c r="H3" i="53"/>
  <c r="G3" i="53"/>
  <c r="F3" i="53"/>
  <c r="E3" i="53"/>
  <c r="D3" i="53"/>
  <c r="C3" i="53"/>
  <c r="B3" i="53"/>
  <c r="N2" i="52"/>
  <c r="N3" i="52" s="1"/>
  <c r="M3" i="52"/>
  <c r="L3" i="52"/>
  <c r="K3" i="52"/>
  <c r="J3" i="52"/>
  <c r="I3" i="52"/>
  <c r="H3" i="52"/>
  <c r="G3" i="52"/>
  <c r="F3" i="52"/>
  <c r="E3" i="52"/>
  <c r="D3" i="52"/>
  <c r="C3" i="52"/>
  <c r="B3" i="52"/>
  <c r="N2" i="51"/>
  <c r="N3" i="51" s="1"/>
  <c r="M3" i="51"/>
  <c r="L3" i="51"/>
  <c r="K3" i="51"/>
  <c r="J3" i="51"/>
  <c r="I3" i="51"/>
  <c r="H3" i="51"/>
  <c r="G3" i="51"/>
  <c r="F3" i="51"/>
  <c r="E3" i="51"/>
  <c r="D3" i="51"/>
  <c r="C3" i="51"/>
  <c r="B3" i="51"/>
  <c r="C3" i="50"/>
  <c r="D3" i="50"/>
  <c r="E3" i="50"/>
  <c r="F3" i="50"/>
  <c r="G3" i="50"/>
  <c r="H3" i="50"/>
  <c r="I3" i="50"/>
  <c r="J3" i="50"/>
  <c r="K3" i="50"/>
  <c r="L3" i="50"/>
  <c r="M3" i="50"/>
  <c r="B2" i="50"/>
  <c r="N2" i="50" s="1"/>
  <c r="N3" i="50"/>
  <c r="B3" i="50"/>
  <c r="D3" i="45"/>
  <c r="K3" i="45"/>
  <c r="N3" i="45"/>
  <c r="B3" i="47"/>
  <c r="N3" i="47" s="1"/>
  <c r="N4" i="33"/>
  <c r="D42" i="22"/>
  <c r="C29" i="48"/>
  <c r="C42" i="48" s="1"/>
  <c r="D29" i="48"/>
  <c r="E29" i="48"/>
  <c r="F29" i="48"/>
  <c r="F42" i="48" s="1"/>
  <c r="G29" i="48"/>
  <c r="G42" i="48" s="1"/>
  <c r="H29" i="48"/>
  <c r="I29" i="48"/>
  <c r="J29" i="48"/>
  <c r="K29" i="48"/>
  <c r="B29" i="48"/>
  <c r="B42" i="48" s="1"/>
  <c r="C25" i="21"/>
  <c r="C38" i="21" s="1"/>
  <c r="C34" i="21"/>
  <c r="D25" i="21"/>
  <c r="D34" i="21"/>
  <c r="E25" i="21"/>
  <c r="E34" i="21"/>
  <c r="F25" i="21"/>
  <c r="F34" i="21"/>
  <c r="G25" i="21"/>
  <c r="G38" i="21" s="1"/>
  <c r="G34" i="21"/>
  <c r="H25" i="21"/>
  <c r="H34" i="21"/>
  <c r="I25" i="21"/>
  <c r="I34" i="21"/>
  <c r="J25" i="21"/>
  <c r="J38" i="21" s="1"/>
  <c r="J34" i="21"/>
  <c r="K25" i="21"/>
  <c r="K38" i="21" s="1"/>
  <c r="K34" i="21"/>
  <c r="L25" i="21"/>
  <c r="L38" i="21" s="1"/>
  <c r="L34" i="21"/>
  <c r="M25" i="21"/>
  <c r="M34" i="21"/>
  <c r="B25" i="21"/>
  <c r="B34" i="21"/>
  <c r="N36" i="21"/>
  <c r="B38" i="21"/>
  <c r="C25" i="20"/>
  <c r="C38" i="20" s="1"/>
  <c r="C34" i="20"/>
  <c r="D25" i="20"/>
  <c r="D34" i="20"/>
  <c r="E25" i="20"/>
  <c r="E34" i="20"/>
  <c r="F10" i="20"/>
  <c r="F25" i="20" s="1"/>
  <c r="F34" i="20"/>
  <c r="G25" i="20"/>
  <c r="G38" i="20"/>
  <c r="H25" i="20"/>
  <c r="H38" i="20" s="1"/>
  <c r="I25" i="20"/>
  <c r="I38" i="20" s="1"/>
  <c r="J25" i="20"/>
  <c r="K25" i="20"/>
  <c r="K38" i="20" s="1"/>
  <c r="L25" i="20"/>
  <c r="L38" i="20" s="1"/>
  <c r="M25" i="20"/>
  <c r="M38" i="20" s="1"/>
  <c r="B25" i="20"/>
  <c r="N28" i="20"/>
  <c r="N29" i="20"/>
  <c r="N34" i="20" s="1"/>
  <c r="N30" i="20"/>
  <c r="N31" i="20"/>
  <c r="N32" i="20"/>
  <c r="N33" i="20"/>
  <c r="N36" i="20"/>
  <c r="B34" i="20"/>
  <c r="C25" i="18"/>
  <c r="C34" i="18"/>
  <c r="D25" i="18"/>
  <c r="D34" i="18"/>
  <c r="E25" i="18"/>
  <c r="E34" i="18"/>
  <c r="F25" i="18"/>
  <c r="F34" i="18"/>
  <c r="G25" i="18"/>
  <c r="G34" i="18"/>
  <c r="H25" i="18"/>
  <c r="H34" i="18"/>
  <c r="I25" i="18"/>
  <c r="I34" i="18"/>
  <c r="J25" i="18"/>
  <c r="J34" i="18"/>
  <c r="K25" i="18"/>
  <c r="K34" i="18"/>
  <c r="L25" i="18"/>
  <c r="L38" i="18" s="1"/>
  <c r="L34" i="18"/>
  <c r="M4" i="18"/>
  <c r="M5" i="18"/>
  <c r="M6" i="18"/>
  <c r="M7" i="18"/>
  <c r="M8" i="18"/>
  <c r="M9" i="18"/>
  <c r="M10" i="18"/>
  <c r="M11" i="18"/>
  <c r="N11" i="18" s="1"/>
  <c r="M12" i="18"/>
  <c r="N12" i="18" s="1"/>
  <c r="M13" i="18"/>
  <c r="M14" i="18"/>
  <c r="M15" i="18"/>
  <c r="M16" i="18"/>
  <c r="M17" i="18"/>
  <c r="M18" i="18"/>
  <c r="M19" i="18"/>
  <c r="M20" i="18"/>
  <c r="M21" i="18"/>
  <c r="M22" i="18"/>
  <c r="M23" i="18"/>
  <c r="N23" i="18" s="1"/>
  <c r="M24" i="18"/>
  <c r="M28" i="18"/>
  <c r="M29" i="18"/>
  <c r="M30" i="18"/>
  <c r="M31" i="18"/>
  <c r="M32" i="18"/>
  <c r="M34" i="18" s="1"/>
  <c r="M33" i="18"/>
  <c r="M36" i="18"/>
  <c r="B4" i="18"/>
  <c r="N5" i="18"/>
  <c r="B6" i="18"/>
  <c r="N6" i="18"/>
  <c r="N28" i="18"/>
  <c r="B36" i="18"/>
  <c r="B7" i="18"/>
  <c r="B17" i="18"/>
  <c r="B19" i="18"/>
  <c r="B20" i="18"/>
  <c r="B21" i="18"/>
  <c r="B22" i="18"/>
  <c r="N22" i="18" s="1"/>
  <c r="B23" i="18"/>
  <c r="B24" i="18"/>
  <c r="B29" i="18"/>
  <c r="N29" i="18" s="1"/>
  <c r="B34" i="18"/>
  <c r="C9" i="17"/>
  <c r="C25" i="17"/>
  <c r="C34" i="17"/>
  <c r="C36" i="17"/>
  <c r="D25" i="17"/>
  <c r="D34" i="17"/>
  <c r="D36" i="17"/>
  <c r="E25" i="17"/>
  <c r="E34" i="17"/>
  <c r="E36" i="17"/>
  <c r="F25" i="17"/>
  <c r="F34" i="17"/>
  <c r="F36" i="17"/>
  <c r="G25" i="17"/>
  <c r="G38" i="17" s="1"/>
  <c r="G34" i="17"/>
  <c r="H25" i="17"/>
  <c r="H38" i="17" s="1"/>
  <c r="H34" i="17"/>
  <c r="I25" i="17"/>
  <c r="I34" i="17"/>
  <c r="J25" i="17"/>
  <c r="J34" i="17"/>
  <c r="K25" i="17"/>
  <c r="K34" i="17"/>
  <c r="L25" i="17"/>
  <c r="L34" i="17"/>
  <c r="M4" i="17"/>
  <c r="M5" i="17"/>
  <c r="M6" i="17"/>
  <c r="M7" i="17"/>
  <c r="M8" i="17"/>
  <c r="M9" i="17"/>
  <c r="M10" i="17"/>
  <c r="M11" i="17"/>
  <c r="N11" i="17" s="1"/>
  <c r="M12" i="17"/>
  <c r="N12" i="17" s="1"/>
  <c r="M13" i="17"/>
  <c r="M25" i="17" s="1"/>
  <c r="M14" i="17"/>
  <c r="M15" i="17"/>
  <c r="M16" i="17"/>
  <c r="M17" i="17"/>
  <c r="M18" i="17"/>
  <c r="M19" i="17"/>
  <c r="M21" i="17"/>
  <c r="M22" i="17"/>
  <c r="N22" i="17" s="1"/>
  <c r="M23" i="17"/>
  <c r="M24" i="17"/>
  <c r="N24" i="17" s="1"/>
  <c r="M29" i="17"/>
  <c r="N29" i="17" s="1"/>
  <c r="M36" i="17"/>
  <c r="B25" i="17"/>
  <c r="N28" i="17"/>
  <c r="B36" i="17"/>
  <c r="B34" i="17"/>
  <c r="B38" i="17" s="1"/>
  <c r="C25" i="16"/>
  <c r="C34" i="16"/>
  <c r="C36" i="16"/>
  <c r="D25" i="16"/>
  <c r="D34" i="16"/>
  <c r="D36" i="16"/>
  <c r="E25" i="16"/>
  <c r="E34" i="16"/>
  <c r="E36" i="16"/>
  <c r="F14" i="16"/>
  <c r="F22" i="16"/>
  <c r="F25" i="16"/>
  <c r="F38" i="16" s="1"/>
  <c r="F34" i="16"/>
  <c r="F36" i="16"/>
  <c r="G23" i="16"/>
  <c r="G25" i="16" s="1"/>
  <c r="G34" i="16"/>
  <c r="G36" i="16"/>
  <c r="H7" i="16"/>
  <c r="N7" i="16" s="1"/>
  <c r="H25" i="16"/>
  <c r="H38" i="16" s="1"/>
  <c r="H34" i="16"/>
  <c r="H36" i="16"/>
  <c r="I16" i="16"/>
  <c r="I25" i="16"/>
  <c r="I34" i="16"/>
  <c r="J8" i="16"/>
  <c r="J25" i="16" s="1"/>
  <c r="J38" i="16" s="1"/>
  <c r="J34" i="16"/>
  <c r="K25" i="16"/>
  <c r="K34" i="16"/>
  <c r="L25" i="16"/>
  <c r="L34" i="16"/>
  <c r="L38" i="16" s="1"/>
  <c r="M25" i="16"/>
  <c r="M34" i="16"/>
  <c r="M36" i="16"/>
  <c r="B25" i="16"/>
  <c r="B34" i="16"/>
  <c r="B36" i="16"/>
  <c r="N40" i="48"/>
  <c r="N20" i="49"/>
  <c r="N23" i="49"/>
  <c r="N14" i="49"/>
  <c r="N15" i="49"/>
  <c r="N13" i="49"/>
  <c r="N5" i="49"/>
  <c r="N7" i="49"/>
  <c r="N8" i="49"/>
  <c r="N9" i="49"/>
  <c r="N4" i="49"/>
  <c r="C39" i="46"/>
  <c r="N39" i="46" s="1"/>
  <c r="N40" i="22"/>
  <c r="M29" i="48"/>
  <c r="M42" i="48" s="1"/>
  <c r="B2" i="47"/>
  <c r="D2" i="47"/>
  <c r="D4" i="47" s="1"/>
  <c r="C2" i="47"/>
  <c r="M4" i="47"/>
  <c r="L4" i="47"/>
  <c r="K4" i="47"/>
  <c r="J4" i="47"/>
  <c r="I4" i="47"/>
  <c r="H4" i="47"/>
  <c r="G4" i="47"/>
  <c r="F4" i="47"/>
  <c r="C4" i="47"/>
  <c r="E4" i="47"/>
  <c r="C2" i="45"/>
  <c r="C4" i="45"/>
  <c r="D2" i="45"/>
  <c r="E2" i="45"/>
  <c r="E4" i="45"/>
  <c r="F4" i="45"/>
  <c r="G4" i="45"/>
  <c r="H4" i="45"/>
  <c r="I4" i="45"/>
  <c r="J4" i="45"/>
  <c r="K4" i="45"/>
  <c r="L4" i="45"/>
  <c r="M4" i="45"/>
  <c r="B2" i="45"/>
  <c r="B4" i="45" s="1"/>
  <c r="M37" i="46"/>
  <c r="L37" i="46"/>
  <c r="K37" i="46"/>
  <c r="J37" i="46"/>
  <c r="I37" i="46"/>
  <c r="H37" i="46"/>
  <c r="G37" i="46"/>
  <c r="F37" i="46"/>
  <c r="E37" i="46"/>
  <c r="D37" i="46"/>
  <c r="C37" i="46"/>
  <c r="B37" i="46"/>
  <c r="N36" i="46"/>
  <c r="N35" i="46"/>
  <c r="N34" i="46"/>
  <c r="N33" i="46"/>
  <c r="N32" i="46"/>
  <c r="N31" i="46"/>
  <c r="N30" i="46"/>
  <c r="N29" i="46"/>
  <c r="L41" i="46"/>
  <c r="K41" i="46"/>
  <c r="I41" i="46"/>
  <c r="E41" i="46"/>
  <c r="N3" i="41"/>
  <c r="M2" i="41"/>
  <c r="M4" i="41"/>
  <c r="B2" i="44"/>
  <c r="C2" i="44"/>
  <c r="C4" i="44" s="1"/>
  <c r="E2" i="44"/>
  <c r="F2" i="44"/>
  <c r="M2" i="44"/>
  <c r="M4" i="44" s="1"/>
  <c r="I3" i="44"/>
  <c r="N3" i="44"/>
  <c r="I4" i="44"/>
  <c r="I36" i="15"/>
  <c r="N36" i="15"/>
  <c r="N19" i="7"/>
  <c r="D21" i="7"/>
  <c r="N20" i="5"/>
  <c r="N23" i="4"/>
  <c r="N23" i="3"/>
  <c r="N23" i="2"/>
  <c r="B23" i="5"/>
  <c r="C23" i="5"/>
  <c r="N20" i="4"/>
  <c r="I33" i="15"/>
  <c r="J33" i="15" s="1"/>
  <c r="J31" i="15"/>
  <c r="J32" i="15"/>
  <c r="J30" i="15"/>
  <c r="B36" i="19"/>
  <c r="M36" i="19"/>
  <c r="M33" i="19"/>
  <c r="M32" i="19"/>
  <c r="M31" i="19"/>
  <c r="M30" i="19"/>
  <c r="M29" i="19"/>
  <c r="M28" i="19"/>
  <c r="M34" i="19" s="1"/>
  <c r="M24" i="19"/>
  <c r="M23" i="19"/>
  <c r="M22" i="19"/>
  <c r="M21" i="19"/>
  <c r="M20" i="19"/>
  <c r="M19" i="19"/>
  <c r="M18" i="19"/>
  <c r="M17" i="19"/>
  <c r="M16" i="19"/>
  <c r="M14" i="19"/>
  <c r="N14" i="19" s="1"/>
  <c r="M13" i="19"/>
  <c r="N13" i="19" s="1"/>
  <c r="M12" i="19"/>
  <c r="N12" i="19" s="1"/>
  <c r="M11" i="19"/>
  <c r="M10" i="19"/>
  <c r="M9" i="19"/>
  <c r="M8" i="19"/>
  <c r="M7" i="19"/>
  <c r="M6" i="19"/>
  <c r="M5" i="19"/>
  <c r="M4" i="19"/>
  <c r="B5" i="19"/>
  <c r="B4" i="19"/>
  <c r="B33" i="19"/>
  <c r="N33" i="19" s="1"/>
  <c r="B32" i="19"/>
  <c r="N32" i="19" s="1"/>
  <c r="B31" i="19"/>
  <c r="B30" i="19"/>
  <c r="B29" i="19"/>
  <c r="B28" i="19"/>
  <c r="B24" i="19"/>
  <c r="B23" i="19"/>
  <c r="B22" i="19"/>
  <c r="B21" i="19"/>
  <c r="N21" i="19" s="1"/>
  <c r="B20" i="19"/>
  <c r="B19" i="19"/>
  <c r="N19" i="19" s="1"/>
  <c r="B18" i="19"/>
  <c r="N18" i="19" s="1"/>
  <c r="B17" i="19"/>
  <c r="N17" i="19" s="1"/>
  <c r="B16" i="19"/>
  <c r="B14" i="19"/>
  <c r="B13" i="19"/>
  <c r="B12" i="19"/>
  <c r="B11" i="19"/>
  <c r="B10" i="19"/>
  <c r="B9" i="19"/>
  <c r="B8" i="19"/>
  <c r="N8" i="19" s="1"/>
  <c r="B7" i="19"/>
  <c r="B6" i="19"/>
  <c r="N6" i="19" s="1"/>
  <c r="N32" i="17"/>
  <c r="E6" i="10"/>
  <c r="N6" i="10" s="1"/>
  <c r="N8" i="10" s="1"/>
  <c r="B15" i="10"/>
  <c r="N29" i="31"/>
  <c r="N31" i="31"/>
  <c r="N32" i="31"/>
  <c r="N30" i="31"/>
  <c r="N33" i="31"/>
  <c r="N34" i="31"/>
  <c r="N35" i="31"/>
  <c r="N28" i="31"/>
  <c r="N5" i="31"/>
  <c r="N6" i="31"/>
  <c r="N7" i="31"/>
  <c r="N13" i="31"/>
  <c r="N11" i="31"/>
  <c r="N15" i="31"/>
  <c r="N8" i="31"/>
  <c r="N10" i="31"/>
  <c r="N14" i="31"/>
  <c r="N12" i="31"/>
  <c r="N16" i="31"/>
  <c r="N17" i="31"/>
  <c r="N18" i="31"/>
  <c r="N20" i="31"/>
  <c r="N21" i="31"/>
  <c r="N22" i="31"/>
  <c r="N23" i="31"/>
  <c r="N24" i="31"/>
  <c r="N4" i="31"/>
  <c r="N19" i="31"/>
  <c r="N30" i="30"/>
  <c r="N34" i="30"/>
  <c r="N33" i="30"/>
  <c r="N32" i="30"/>
  <c r="N31" i="30"/>
  <c r="N29" i="30"/>
  <c r="N28" i="30"/>
  <c r="B21" i="24"/>
  <c r="N21" i="24" s="1"/>
  <c r="B9" i="24"/>
  <c r="C9" i="24"/>
  <c r="D9" i="24"/>
  <c r="D23" i="24" s="1"/>
  <c r="D37" i="24" s="1"/>
  <c r="E9" i="24"/>
  <c r="F9" i="24"/>
  <c r="L9" i="24"/>
  <c r="L23" i="24" s="1"/>
  <c r="M12" i="24"/>
  <c r="N12" i="24" s="1"/>
  <c r="M9" i="24"/>
  <c r="G9" i="24"/>
  <c r="G23" i="24" s="1"/>
  <c r="G37" i="24" s="1"/>
  <c r="H9" i="24"/>
  <c r="H23" i="24" s="1"/>
  <c r="H37" i="24" s="1"/>
  <c r="I9" i="24"/>
  <c r="I23" i="24" s="1"/>
  <c r="J9" i="24"/>
  <c r="K9" i="24"/>
  <c r="N35" i="32"/>
  <c r="N34" i="32"/>
  <c r="N33" i="32"/>
  <c r="N32" i="32"/>
  <c r="N31" i="32"/>
  <c r="N29" i="32"/>
  <c r="N28" i="32"/>
  <c r="N32" i="26"/>
  <c r="N31" i="26"/>
  <c r="N30" i="26"/>
  <c r="N29" i="26"/>
  <c r="N28" i="26"/>
  <c r="N27" i="26"/>
  <c r="N26" i="26"/>
  <c r="N34" i="25"/>
  <c r="N33" i="25"/>
  <c r="N32" i="25"/>
  <c r="N31" i="25"/>
  <c r="N30" i="25"/>
  <c r="N29" i="25"/>
  <c r="N28" i="25"/>
  <c r="N27" i="25"/>
  <c r="N26" i="25"/>
  <c r="L35" i="24"/>
  <c r="K35" i="24"/>
  <c r="J35" i="24"/>
  <c r="H35" i="24"/>
  <c r="F35" i="24"/>
  <c r="E35" i="24"/>
  <c r="E37" i="24" s="1"/>
  <c r="D35" i="24"/>
  <c r="C35" i="24"/>
  <c r="B35" i="24"/>
  <c r="I35" i="24"/>
  <c r="N34" i="24"/>
  <c r="N33" i="24"/>
  <c r="N32" i="24"/>
  <c r="N31" i="24"/>
  <c r="N30" i="24"/>
  <c r="N29" i="24"/>
  <c r="N28" i="24"/>
  <c r="G35" i="24"/>
  <c r="N27" i="24"/>
  <c r="N26" i="24"/>
  <c r="M35" i="24"/>
  <c r="N22" i="24"/>
  <c r="N20" i="24"/>
  <c r="N19" i="24"/>
  <c r="N18" i="24"/>
  <c r="N17" i="24"/>
  <c r="N16" i="24"/>
  <c r="N15" i="24"/>
  <c r="N13" i="24"/>
  <c r="N10" i="24"/>
  <c r="K23" i="24"/>
  <c r="K37" i="24" s="1"/>
  <c r="J23" i="24"/>
  <c r="J37" i="24" s="1"/>
  <c r="E23" i="24"/>
  <c r="N8" i="24"/>
  <c r="N14" i="24"/>
  <c r="N7" i="24"/>
  <c r="N6" i="24"/>
  <c r="N5" i="24"/>
  <c r="N4" i="24"/>
  <c r="B2" i="35"/>
  <c r="N2" i="35" s="1"/>
  <c r="N3" i="35" s="1"/>
  <c r="C2" i="35"/>
  <c r="C3" i="35" s="1"/>
  <c r="E2" i="35"/>
  <c r="E3" i="35" s="1"/>
  <c r="L2" i="35"/>
  <c r="M2" i="35"/>
  <c r="B23" i="24"/>
  <c r="M4" i="43"/>
  <c r="J4" i="43"/>
  <c r="I4" i="43"/>
  <c r="H4" i="43"/>
  <c r="G4" i="43"/>
  <c r="F4" i="43"/>
  <c r="C2" i="43"/>
  <c r="C4" i="43" s="1"/>
  <c r="N3" i="43"/>
  <c r="L2" i="43"/>
  <c r="L4" i="43"/>
  <c r="K2" i="43"/>
  <c r="K4" i="43" s="1"/>
  <c r="E2" i="43"/>
  <c r="E4" i="43"/>
  <c r="D2" i="43"/>
  <c r="D4" i="43" s="1"/>
  <c r="B2" i="43"/>
  <c r="K2" i="42"/>
  <c r="K4" i="42"/>
  <c r="J4" i="42"/>
  <c r="I4" i="42"/>
  <c r="H4" i="42"/>
  <c r="G4" i="42"/>
  <c r="F2" i="42"/>
  <c r="F4" i="42" s="1"/>
  <c r="C2" i="42"/>
  <c r="C4" i="42" s="1"/>
  <c r="B2" i="42"/>
  <c r="B4" i="42" s="1"/>
  <c r="N3" i="42"/>
  <c r="M2" i="42"/>
  <c r="M4" i="42" s="1"/>
  <c r="L2" i="42"/>
  <c r="L4" i="42"/>
  <c r="E2" i="42"/>
  <c r="E4" i="42" s="1"/>
  <c r="D2" i="42"/>
  <c r="D4" i="42" s="1"/>
  <c r="L4" i="44"/>
  <c r="K4" i="44"/>
  <c r="J4" i="44"/>
  <c r="H4" i="44"/>
  <c r="G4" i="44"/>
  <c r="F4" i="44"/>
  <c r="E4" i="44"/>
  <c r="D4" i="44"/>
  <c r="B4" i="44"/>
  <c r="N33" i="17"/>
  <c r="N23" i="17"/>
  <c r="N18" i="17"/>
  <c r="N16" i="17"/>
  <c r="N14" i="17"/>
  <c r="N10" i="17"/>
  <c r="N9" i="17"/>
  <c r="N8" i="17"/>
  <c r="N7" i="17"/>
  <c r="N6" i="17"/>
  <c r="N33" i="16"/>
  <c r="N32" i="16"/>
  <c r="N31" i="16"/>
  <c r="N30" i="16"/>
  <c r="N29" i="16"/>
  <c r="N28" i="16"/>
  <c r="N24" i="16"/>
  <c r="N22" i="16"/>
  <c r="N21" i="16"/>
  <c r="N20" i="16"/>
  <c r="N19" i="16"/>
  <c r="N18" i="16"/>
  <c r="N17" i="16"/>
  <c r="N13" i="16"/>
  <c r="N12" i="16"/>
  <c r="N11" i="16"/>
  <c r="N10" i="16"/>
  <c r="N9" i="16"/>
  <c r="N8" i="16"/>
  <c r="N6" i="16"/>
  <c r="N5" i="16"/>
  <c r="N4" i="16"/>
  <c r="L24" i="15"/>
  <c r="L25" i="15" s="1"/>
  <c r="L38" i="15" s="1"/>
  <c r="K24" i="15"/>
  <c r="K25" i="15" s="1"/>
  <c r="K38" i="15" s="1"/>
  <c r="K34" i="15"/>
  <c r="J24" i="15"/>
  <c r="J25" i="15" s="1"/>
  <c r="I24" i="15"/>
  <c r="M24" i="15"/>
  <c r="M25" i="15" s="1"/>
  <c r="M2" i="38"/>
  <c r="M3" i="38" s="1"/>
  <c r="K2" i="38"/>
  <c r="H16" i="15"/>
  <c r="N16" i="15" s="1"/>
  <c r="B29" i="15"/>
  <c r="N29" i="15" s="1"/>
  <c r="F2" i="38"/>
  <c r="F3" i="38" s="1"/>
  <c r="E2" i="38"/>
  <c r="D2" i="38"/>
  <c r="D3" i="38" s="1"/>
  <c r="B2" i="38"/>
  <c r="C2" i="38"/>
  <c r="C3" i="38" s="1"/>
  <c r="N23" i="15"/>
  <c r="M2" i="37"/>
  <c r="M3" i="37" s="1"/>
  <c r="L2" i="37"/>
  <c r="L3" i="37" s="1"/>
  <c r="F2" i="37"/>
  <c r="F3" i="37"/>
  <c r="E2" i="37"/>
  <c r="D2" i="37"/>
  <c r="B2" i="37"/>
  <c r="B3" i="37" s="1"/>
  <c r="M2" i="36"/>
  <c r="M3" i="36" s="1"/>
  <c r="K2" i="36"/>
  <c r="F2" i="36"/>
  <c r="F3" i="36" s="1"/>
  <c r="E2" i="36"/>
  <c r="D2" i="36"/>
  <c r="B2" i="36"/>
  <c r="C2" i="36"/>
  <c r="C3" i="36" s="1"/>
  <c r="L3" i="38"/>
  <c r="K3" i="38"/>
  <c r="J3" i="38"/>
  <c r="I3" i="38"/>
  <c r="H3" i="38"/>
  <c r="G3" i="38"/>
  <c r="E3" i="38"/>
  <c r="K3" i="37"/>
  <c r="J3" i="37"/>
  <c r="I3" i="37"/>
  <c r="H3" i="37"/>
  <c r="G3" i="37"/>
  <c r="E3" i="37"/>
  <c r="D3" i="37"/>
  <c r="C3" i="37"/>
  <c r="L3" i="36"/>
  <c r="K3" i="36"/>
  <c r="J3" i="36"/>
  <c r="I3" i="36"/>
  <c r="H3" i="36"/>
  <c r="G3" i="36"/>
  <c r="E3" i="36"/>
  <c r="B3" i="36"/>
  <c r="M3" i="35"/>
  <c r="L3" i="35"/>
  <c r="K3" i="35"/>
  <c r="J3" i="35"/>
  <c r="I3" i="35"/>
  <c r="H3" i="35"/>
  <c r="G3" i="35"/>
  <c r="F3" i="35"/>
  <c r="D3" i="35"/>
  <c r="B3" i="35"/>
  <c r="M34" i="15"/>
  <c r="M38" i="15" s="1"/>
  <c r="L34" i="15"/>
  <c r="H34" i="15"/>
  <c r="G34" i="15"/>
  <c r="F34" i="15"/>
  <c r="E34" i="15"/>
  <c r="D34" i="15"/>
  <c r="C34" i="15"/>
  <c r="N32" i="15"/>
  <c r="N31" i="15"/>
  <c r="N28" i="15"/>
  <c r="I25" i="15"/>
  <c r="H25" i="15"/>
  <c r="H38" i="15" s="1"/>
  <c r="G25" i="15"/>
  <c r="G38" i="15" s="1"/>
  <c r="F25" i="15"/>
  <c r="E25" i="15"/>
  <c r="E38" i="15"/>
  <c r="D25" i="15"/>
  <c r="C25" i="15"/>
  <c r="B25" i="15"/>
  <c r="N22" i="15"/>
  <c r="N21" i="15"/>
  <c r="N20" i="15"/>
  <c r="N19" i="15"/>
  <c r="N18" i="15"/>
  <c r="N17" i="15"/>
  <c r="N15" i="15"/>
  <c r="N14" i="15"/>
  <c r="N13" i="15"/>
  <c r="N12" i="15"/>
  <c r="N11" i="15"/>
  <c r="N10" i="15"/>
  <c r="N9" i="15"/>
  <c r="N8" i="15"/>
  <c r="N7" i="15"/>
  <c r="N6" i="15"/>
  <c r="N5" i="15"/>
  <c r="N4" i="15"/>
  <c r="M34" i="14"/>
  <c r="L34" i="14"/>
  <c r="K34" i="14"/>
  <c r="J34" i="14"/>
  <c r="I34" i="14"/>
  <c r="I36" i="14" s="1"/>
  <c r="H34" i="14"/>
  <c r="G34" i="14"/>
  <c r="F34" i="14"/>
  <c r="E34" i="14"/>
  <c r="D34" i="14"/>
  <c r="C34" i="14"/>
  <c r="B34" i="14"/>
  <c r="N33" i="14"/>
  <c r="N32" i="14"/>
  <c r="N31" i="14"/>
  <c r="N30" i="14"/>
  <c r="N29" i="14"/>
  <c r="N28" i="14"/>
  <c r="N27" i="14"/>
  <c r="M24" i="14"/>
  <c r="M36" i="14" s="1"/>
  <c r="L24" i="14"/>
  <c r="L36" i="14" s="1"/>
  <c r="K24" i="14"/>
  <c r="K36" i="14" s="1"/>
  <c r="J24" i="14"/>
  <c r="J36" i="14" s="1"/>
  <c r="I24" i="14"/>
  <c r="H24" i="14"/>
  <c r="H36" i="14" s="1"/>
  <c r="G24" i="14"/>
  <c r="F24" i="14"/>
  <c r="E24" i="14"/>
  <c r="D24" i="14"/>
  <c r="C24" i="14"/>
  <c r="B24" i="14"/>
  <c r="B36" i="14" s="1"/>
  <c r="N23" i="14"/>
  <c r="N22" i="14"/>
  <c r="N21" i="14"/>
  <c r="N20" i="14"/>
  <c r="N19" i="14"/>
  <c r="N18" i="14"/>
  <c r="N17" i="14"/>
  <c r="N16" i="14"/>
  <c r="N15" i="14"/>
  <c r="N14" i="14"/>
  <c r="N13" i="14"/>
  <c r="N12" i="14"/>
  <c r="N11" i="14"/>
  <c r="N10" i="14"/>
  <c r="N9" i="14"/>
  <c r="N8" i="14"/>
  <c r="N7" i="14"/>
  <c r="N6" i="14"/>
  <c r="N5" i="14"/>
  <c r="N4" i="14"/>
  <c r="M35" i="13"/>
  <c r="L35" i="13"/>
  <c r="J35" i="13"/>
  <c r="I35" i="13"/>
  <c r="I37" i="13" s="1"/>
  <c r="H35" i="13"/>
  <c r="F35" i="13"/>
  <c r="K35" i="13"/>
  <c r="G35" i="13"/>
  <c r="E35" i="13"/>
  <c r="D35" i="13"/>
  <c r="C35" i="13"/>
  <c r="B35" i="13"/>
  <c r="N34" i="13"/>
  <c r="N33" i="13"/>
  <c r="N32" i="13"/>
  <c r="N31" i="13"/>
  <c r="N30" i="13"/>
  <c r="N29" i="13"/>
  <c r="N28" i="13"/>
  <c r="M25" i="13"/>
  <c r="M37" i="13" s="1"/>
  <c r="L25" i="13"/>
  <c r="K25" i="13"/>
  <c r="J25" i="13"/>
  <c r="J37" i="13" s="1"/>
  <c r="I25" i="13"/>
  <c r="G25" i="13"/>
  <c r="G37" i="13" s="1"/>
  <c r="F25" i="13"/>
  <c r="E25" i="13"/>
  <c r="E37" i="13" s="1"/>
  <c r="D25" i="13"/>
  <c r="D37" i="13" s="1"/>
  <c r="C25" i="13"/>
  <c r="B25" i="13"/>
  <c r="B37" i="13" s="1"/>
  <c r="N24" i="13"/>
  <c r="N22" i="13"/>
  <c r="N20" i="13"/>
  <c r="N19" i="13"/>
  <c r="N18" i="13"/>
  <c r="N17" i="13"/>
  <c r="N16" i="13"/>
  <c r="N15" i="13"/>
  <c r="N14" i="13"/>
  <c r="N13" i="13"/>
  <c r="N12" i="13"/>
  <c r="N11" i="13"/>
  <c r="N10" i="13"/>
  <c r="N9" i="13"/>
  <c r="N8" i="13"/>
  <c r="N7" i="13"/>
  <c r="N6" i="13"/>
  <c r="N5" i="13"/>
  <c r="N4" i="13"/>
  <c r="N36" i="19"/>
  <c r="L34" i="19"/>
  <c r="K34" i="19"/>
  <c r="J34" i="19"/>
  <c r="I34" i="19"/>
  <c r="H34" i="19"/>
  <c r="G34" i="19"/>
  <c r="F34" i="19"/>
  <c r="E34" i="19"/>
  <c r="D34" i="19"/>
  <c r="C34" i="19"/>
  <c r="N30" i="19"/>
  <c r="N29" i="19"/>
  <c r="L25" i="19"/>
  <c r="L38" i="19" s="1"/>
  <c r="K25" i="19"/>
  <c r="J25" i="19"/>
  <c r="I25" i="19"/>
  <c r="I38" i="19" s="1"/>
  <c r="H25" i="19"/>
  <c r="H38" i="19" s="1"/>
  <c r="G25" i="19"/>
  <c r="G38" i="19" s="1"/>
  <c r="F25" i="19"/>
  <c r="E25" i="19"/>
  <c r="E38" i="19"/>
  <c r="D25" i="19"/>
  <c r="D38" i="19" s="1"/>
  <c r="C25" i="19"/>
  <c r="C38" i="19" s="1"/>
  <c r="N24" i="19"/>
  <c r="N23" i="19"/>
  <c r="N22" i="19"/>
  <c r="N20" i="19"/>
  <c r="N16" i="19"/>
  <c r="N11" i="19"/>
  <c r="N10" i="19"/>
  <c r="N9" i="19"/>
  <c r="N7" i="19"/>
  <c r="J38" i="19"/>
  <c r="D3" i="36"/>
  <c r="N4" i="17"/>
  <c r="F38" i="15"/>
  <c r="N20" i="17"/>
  <c r="N19" i="17"/>
  <c r="N30" i="17"/>
  <c r="N14" i="16"/>
  <c r="N16" i="16"/>
  <c r="N21" i="17"/>
  <c r="N17" i="17"/>
  <c r="N15" i="17"/>
  <c r="N31" i="17"/>
  <c r="N5" i="17"/>
  <c r="G36" i="14"/>
  <c r="D36" i="14"/>
  <c r="C36" i="14"/>
  <c r="K37" i="13"/>
  <c r="M4" i="39"/>
  <c r="L4" i="39"/>
  <c r="K4" i="39"/>
  <c r="J4" i="39"/>
  <c r="I4" i="39"/>
  <c r="H4" i="39"/>
  <c r="G4" i="39"/>
  <c r="F4" i="39"/>
  <c r="E4" i="39"/>
  <c r="D4" i="39"/>
  <c r="C4" i="39"/>
  <c r="N3" i="39"/>
  <c r="B2" i="39"/>
  <c r="N2" i="39"/>
  <c r="N4" i="39"/>
  <c r="B4" i="39"/>
  <c r="L4" i="40"/>
  <c r="K4" i="40"/>
  <c r="J4" i="40"/>
  <c r="I4" i="40"/>
  <c r="H4" i="40"/>
  <c r="G4" i="40"/>
  <c r="F4" i="40"/>
  <c r="C4" i="40"/>
  <c r="N3" i="40"/>
  <c r="M2" i="40"/>
  <c r="M4" i="40"/>
  <c r="E2" i="40"/>
  <c r="E4" i="40" s="1"/>
  <c r="D2" i="40"/>
  <c r="D4" i="40"/>
  <c r="B2" i="40"/>
  <c r="B4" i="40" s="1"/>
  <c r="L4" i="41"/>
  <c r="K4" i="41"/>
  <c r="J4" i="41"/>
  <c r="I4" i="41"/>
  <c r="H4" i="41"/>
  <c r="G4" i="41"/>
  <c r="F4" i="41"/>
  <c r="D4" i="41"/>
  <c r="C4" i="41"/>
  <c r="E2" i="41"/>
  <c r="B2" i="41"/>
  <c r="B4" i="41"/>
  <c r="L36" i="23"/>
  <c r="K36" i="23"/>
  <c r="J36" i="23"/>
  <c r="F36" i="23"/>
  <c r="E36" i="23"/>
  <c r="C36" i="23"/>
  <c r="B36" i="23"/>
  <c r="I35" i="23"/>
  <c r="I36" i="23"/>
  <c r="H35" i="23"/>
  <c r="N35" i="23" s="1"/>
  <c r="N34" i="23"/>
  <c r="N33" i="23"/>
  <c r="N32" i="23"/>
  <c r="N31" i="23"/>
  <c r="D30" i="23"/>
  <c r="N30" i="23"/>
  <c r="N29" i="23"/>
  <c r="G28" i="23"/>
  <c r="G36" i="23" s="1"/>
  <c r="N27" i="23"/>
  <c r="M26" i="23"/>
  <c r="N22" i="23"/>
  <c r="M21" i="23"/>
  <c r="M23" i="23" s="1"/>
  <c r="L21" i="23"/>
  <c r="K21" i="23"/>
  <c r="J21" i="23"/>
  <c r="I21" i="23"/>
  <c r="H21" i="23"/>
  <c r="G21" i="23"/>
  <c r="F21" i="23"/>
  <c r="E21" i="23"/>
  <c r="D21" i="23"/>
  <c r="C21" i="23"/>
  <c r="B21" i="23"/>
  <c r="N20" i="23"/>
  <c r="N19" i="23"/>
  <c r="N18" i="23"/>
  <c r="N16" i="23"/>
  <c r="N15" i="23"/>
  <c r="N13" i="23"/>
  <c r="N10" i="23"/>
  <c r="M9" i="23"/>
  <c r="L9" i="23"/>
  <c r="K9" i="23"/>
  <c r="K23" i="23" s="1"/>
  <c r="K38" i="23" s="1"/>
  <c r="J9" i="23"/>
  <c r="J23" i="23" s="1"/>
  <c r="J38" i="23" s="1"/>
  <c r="I9" i="23"/>
  <c r="H9" i="23"/>
  <c r="H23" i="23" s="1"/>
  <c r="H38" i="23" s="1"/>
  <c r="G9" i="23"/>
  <c r="F9" i="23"/>
  <c r="F23" i="23" s="1"/>
  <c r="F38" i="23" s="1"/>
  <c r="E9" i="23"/>
  <c r="E23" i="23" s="1"/>
  <c r="E38" i="23" s="1"/>
  <c r="D9" i="23"/>
  <c r="C9" i="23"/>
  <c r="B9" i="23"/>
  <c r="N8" i="23"/>
  <c r="N14" i="23"/>
  <c r="N17" i="23"/>
  <c r="N12" i="23"/>
  <c r="N7" i="23"/>
  <c r="N6" i="23"/>
  <c r="N5" i="23"/>
  <c r="N4" i="23"/>
  <c r="N34" i="29"/>
  <c r="N33" i="29"/>
  <c r="N32" i="29"/>
  <c r="N31" i="29"/>
  <c r="N30" i="29"/>
  <c r="N29" i="29"/>
  <c r="N28" i="29"/>
  <c r="M39" i="33"/>
  <c r="M41" i="33" s="1"/>
  <c r="B39" i="33"/>
  <c r="N39" i="33" s="1"/>
  <c r="M37" i="33"/>
  <c r="L37" i="33"/>
  <c r="K37" i="33"/>
  <c r="J37" i="33"/>
  <c r="I37" i="33"/>
  <c r="H37" i="33"/>
  <c r="G37" i="33"/>
  <c r="F37" i="33"/>
  <c r="E37" i="33"/>
  <c r="D37" i="33"/>
  <c r="C37" i="33"/>
  <c r="B37" i="33"/>
  <c r="N37" i="33" s="1"/>
  <c r="N36" i="33"/>
  <c r="N35" i="33"/>
  <c r="N34" i="33"/>
  <c r="N33" i="33"/>
  <c r="N32" i="33"/>
  <c r="N31" i="33"/>
  <c r="N30" i="33"/>
  <c r="N29" i="33"/>
  <c r="M11" i="33"/>
  <c r="M26" i="33" s="1"/>
  <c r="F26" i="33"/>
  <c r="F41" i="33" s="1"/>
  <c r="E26" i="33"/>
  <c r="E41" i="33" s="1"/>
  <c r="N25" i="33"/>
  <c r="N24" i="33"/>
  <c r="N23" i="33"/>
  <c r="N22" i="33"/>
  <c r="N21" i="33"/>
  <c r="N20" i="33"/>
  <c r="N19" i="33"/>
  <c r="N18" i="33"/>
  <c r="N17" i="33"/>
  <c r="N16" i="33"/>
  <c r="N15" i="33"/>
  <c r="N14" i="33"/>
  <c r="N13" i="33"/>
  <c r="N12" i="33"/>
  <c r="L11" i="33"/>
  <c r="L26" i="33" s="1"/>
  <c r="L41" i="33" s="1"/>
  <c r="K11" i="33"/>
  <c r="K26" i="33"/>
  <c r="J11" i="33"/>
  <c r="J26" i="33" s="1"/>
  <c r="I11" i="33"/>
  <c r="I26" i="33"/>
  <c r="I41" i="33" s="1"/>
  <c r="H11" i="33"/>
  <c r="H26" i="33" s="1"/>
  <c r="H41" i="33" s="1"/>
  <c r="G11" i="33"/>
  <c r="G26" i="33"/>
  <c r="G41" i="33" s="1"/>
  <c r="D11" i="33"/>
  <c r="N11" i="33" s="1"/>
  <c r="D26" i="33"/>
  <c r="D41" i="33" s="1"/>
  <c r="C11" i="33"/>
  <c r="C26" i="33" s="1"/>
  <c r="B11" i="33"/>
  <c r="N10" i="33"/>
  <c r="N9" i="33"/>
  <c r="N8" i="33"/>
  <c r="N7" i="33"/>
  <c r="N6" i="33"/>
  <c r="N5" i="33"/>
  <c r="N18" i="18"/>
  <c r="N15" i="18"/>
  <c r="N13" i="18"/>
  <c r="N7" i="18"/>
  <c r="C23" i="23"/>
  <c r="C38" i="23" s="1"/>
  <c r="G23" i="23"/>
  <c r="H36" i="23"/>
  <c r="D36" i="23"/>
  <c r="N28" i="23"/>
  <c r="N17" i="18"/>
  <c r="N21" i="18"/>
  <c r="N32" i="18"/>
  <c r="N33" i="18"/>
  <c r="N8" i="18"/>
  <c r="N9" i="18"/>
  <c r="N10" i="18"/>
  <c r="N20" i="18"/>
  <c r="N14" i="18"/>
  <c r="N30" i="18"/>
  <c r="N31" i="18"/>
  <c r="G38" i="23"/>
  <c r="B26" i="33"/>
  <c r="N19" i="18"/>
  <c r="M35" i="12"/>
  <c r="L35" i="12"/>
  <c r="J35" i="12"/>
  <c r="I35" i="12"/>
  <c r="H34" i="12"/>
  <c r="H35" i="12" s="1"/>
  <c r="H37" i="12" s="1"/>
  <c r="F35" i="12"/>
  <c r="K34" i="12"/>
  <c r="K35" i="12" s="1"/>
  <c r="K24" i="12"/>
  <c r="K37" i="12" s="1"/>
  <c r="G34" i="12"/>
  <c r="G35" i="12" s="1"/>
  <c r="G24" i="12"/>
  <c r="G37" i="12"/>
  <c r="E34" i="12"/>
  <c r="E35" i="12" s="1"/>
  <c r="D34" i="12"/>
  <c r="D35" i="12"/>
  <c r="C34" i="12"/>
  <c r="C35" i="12" s="1"/>
  <c r="C24" i="12"/>
  <c r="B34" i="12"/>
  <c r="B35" i="12" s="1"/>
  <c r="N33" i="12"/>
  <c r="N32" i="12"/>
  <c r="N31" i="12"/>
  <c r="N30" i="12"/>
  <c r="N29" i="12"/>
  <c r="N28" i="12"/>
  <c r="N27" i="12"/>
  <c r="M24" i="12"/>
  <c r="M37" i="12"/>
  <c r="L24" i="12"/>
  <c r="L37" i="12" s="1"/>
  <c r="J24" i="12"/>
  <c r="J37" i="12" s="1"/>
  <c r="I24" i="12"/>
  <c r="H24" i="12"/>
  <c r="F24" i="12"/>
  <c r="F37" i="12" s="1"/>
  <c r="E24" i="12"/>
  <c r="E37" i="12"/>
  <c r="D24" i="12"/>
  <c r="B24" i="12"/>
  <c r="B37" i="12"/>
  <c r="N23" i="12"/>
  <c r="N22" i="12"/>
  <c r="N21" i="12"/>
  <c r="N20" i="12"/>
  <c r="N19" i="12"/>
  <c r="N18" i="12"/>
  <c r="N17" i="12"/>
  <c r="N16" i="12"/>
  <c r="N15" i="12"/>
  <c r="N14" i="12"/>
  <c r="N13" i="12"/>
  <c r="N12" i="12"/>
  <c r="N11" i="12"/>
  <c r="N10" i="12"/>
  <c r="N9" i="12"/>
  <c r="N8" i="12"/>
  <c r="N7" i="12"/>
  <c r="N6" i="12"/>
  <c r="N5" i="12"/>
  <c r="N4" i="12"/>
  <c r="N24" i="20"/>
  <c r="N23" i="20"/>
  <c r="N22" i="20"/>
  <c r="N21" i="20"/>
  <c r="N20" i="20"/>
  <c r="N19" i="20"/>
  <c r="N18" i="20"/>
  <c r="N17" i="20"/>
  <c r="N16" i="20"/>
  <c r="N15" i="20"/>
  <c r="N14" i="20"/>
  <c r="N13" i="20"/>
  <c r="N12" i="20"/>
  <c r="N11" i="20"/>
  <c r="N9" i="20"/>
  <c r="N8" i="20"/>
  <c r="N7" i="20"/>
  <c r="N6" i="20"/>
  <c r="N5" i="20"/>
  <c r="N4" i="20"/>
  <c r="N33" i="21"/>
  <c r="N32" i="21"/>
  <c r="N31" i="21"/>
  <c r="N30" i="21"/>
  <c r="N29" i="21"/>
  <c r="N28" i="21"/>
  <c r="N24" i="21"/>
  <c r="N23" i="21"/>
  <c r="N22" i="21"/>
  <c r="N21" i="21"/>
  <c r="N20" i="21"/>
  <c r="N19" i="21"/>
  <c r="N18" i="21"/>
  <c r="N17" i="21"/>
  <c r="N16" i="21"/>
  <c r="N15" i="21"/>
  <c r="N14" i="21"/>
  <c r="N13" i="21"/>
  <c r="N12" i="21"/>
  <c r="N11" i="21"/>
  <c r="N10" i="21"/>
  <c r="N9" i="21"/>
  <c r="N8" i="21"/>
  <c r="N7" i="21"/>
  <c r="N6" i="21"/>
  <c r="N5" i="21"/>
  <c r="N4" i="21"/>
  <c r="D21" i="6"/>
  <c r="I21" i="6"/>
  <c r="D27" i="1"/>
  <c r="I27" i="1"/>
  <c r="N13" i="2"/>
  <c r="N14" i="2"/>
  <c r="N15" i="2"/>
  <c r="N16" i="2"/>
  <c r="N17" i="2"/>
  <c r="N18" i="2"/>
  <c r="N19" i="2"/>
  <c r="C20" i="2"/>
  <c r="C22" i="2" s="1"/>
  <c r="C24" i="2" s="1"/>
  <c r="D20" i="2"/>
  <c r="E20" i="2"/>
  <c r="F20" i="2"/>
  <c r="G20" i="2"/>
  <c r="H20" i="2"/>
  <c r="H22" i="2" s="1"/>
  <c r="H24" i="2" s="1"/>
  <c r="I20" i="2"/>
  <c r="J20" i="2"/>
  <c r="K20" i="2"/>
  <c r="L20" i="2"/>
  <c r="L22" i="2" s="1"/>
  <c r="L24" i="2" s="1"/>
  <c r="M20" i="2"/>
  <c r="M22" i="2" s="1"/>
  <c r="M24" i="2" s="1"/>
  <c r="B20" i="2"/>
  <c r="B22" i="2" s="1"/>
  <c r="B24" i="2" s="1"/>
  <c r="K22" i="2"/>
  <c r="K24" i="2" s="1"/>
  <c r="G22" i="2"/>
  <c r="G24" i="2" s="1"/>
  <c r="N15" i="3"/>
  <c r="N16" i="3"/>
  <c r="N17" i="3"/>
  <c r="N19" i="3"/>
  <c r="C10" i="3"/>
  <c r="E10" i="3"/>
  <c r="E22" i="3" s="1"/>
  <c r="E24" i="3" s="1"/>
  <c r="F10" i="3"/>
  <c r="F22" i="3" s="1"/>
  <c r="F24" i="3" s="1"/>
  <c r="G10" i="3"/>
  <c r="G22" i="3" s="1"/>
  <c r="G24" i="3" s="1"/>
  <c r="G20" i="3"/>
  <c r="I10" i="3"/>
  <c r="J10" i="3"/>
  <c r="K10" i="3"/>
  <c r="L10" i="3"/>
  <c r="M10" i="3"/>
  <c r="B10" i="3"/>
  <c r="N5" i="3"/>
  <c r="N8" i="3"/>
  <c r="N9" i="3"/>
  <c r="N4" i="3"/>
  <c r="M20" i="3"/>
  <c r="L20" i="3"/>
  <c r="K20" i="3"/>
  <c r="I20" i="3"/>
  <c r="H20" i="3"/>
  <c r="F20" i="3"/>
  <c r="E20" i="3"/>
  <c r="D20" i="3"/>
  <c r="B20" i="3"/>
  <c r="C18" i="3"/>
  <c r="N18" i="3" s="1"/>
  <c r="C14" i="3"/>
  <c r="N14" i="3" s="1"/>
  <c r="C13" i="3"/>
  <c r="N13" i="3" s="1"/>
  <c r="L22" i="3"/>
  <c r="L24" i="3" s="1"/>
  <c r="H7" i="3"/>
  <c r="N7" i="3" s="1"/>
  <c r="D6" i="3"/>
  <c r="D10" i="3" s="1"/>
  <c r="N9" i="11"/>
  <c r="N8" i="11"/>
  <c r="N7" i="11"/>
  <c r="N6" i="11"/>
  <c r="N5" i="11"/>
  <c r="N4" i="11"/>
  <c r="N6" i="3"/>
  <c r="I22" i="2"/>
  <c r="I24" i="2" s="1"/>
  <c r="C20" i="3"/>
  <c r="I22" i="3"/>
  <c r="I24" i="3" s="1"/>
  <c r="L17" i="4"/>
  <c r="K17" i="4"/>
  <c r="I17" i="4"/>
  <c r="H17" i="4"/>
  <c r="G17" i="4"/>
  <c r="G18" i="4" s="1"/>
  <c r="G22" i="4" s="1"/>
  <c r="F17" i="4"/>
  <c r="E17" i="4"/>
  <c r="D17" i="4"/>
  <c r="C17" i="4"/>
  <c r="C18" i="4" s="1"/>
  <c r="C22" i="4" s="1"/>
  <c r="C24" i="4" s="1"/>
  <c r="B17" i="4"/>
  <c r="B18" i="4" s="1"/>
  <c r="B22" i="4" s="1"/>
  <c r="B24" i="4" s="1"/>
  <c r="N16" i="4"/>
  <c r="N15" i="4"/>
  <c r="J14" i="4"/>
  <c r="J17" i="4" s="1"/>
  <c r="M13" i="4"/>
  <c r="M17" i="4"/>
  <c r="N12" i="4"/>
  <c r="G24" i="4"/>
  <c r="F18" i="4"/>
  <c r="F22" i="4" s="1"/>
  <c r="F24" i="4" s="1"/>
  <c r="I17" i="5"/>
  <c r="H17" i="5"/>
  <c r="G17" i="5"/>
  <c r="F17" i="5"/>
  <c r="E17" i="5"/>
  <c r="D17" i="5"/>
  <c r="C17" i="5"/>
  <c r="B17" i="5"/>
  <c r="M16" i="5"/>
  <c r="L16" i="5"/>
  <c r="N16" i="5" s="1"/>
  <c r="M15" i="5"/>
  <c r="N15" i="5"/>
  <c r="M14" i="5"/>
  <c r="N14" i="5" s="1"/>
  <c r="M13" i="5"/>
  <c r="M17" i="5" s="1"/>
  <c r="M18" i="5" s="1"/>
  <c r="M22" i="5" s="1"/>
  <c r="M24" i="5" s="1"/>
  <c r="L13" i="5"/>
  <c r="J13" i="5"/>
  <c r="J17" i="5" s="1"/>
  <c r="J18" i="5" s="1"/>
  <c r="J22" i="5" s="1"/>
  <c r="J24" i="5" s="1"/>
  <c r="M12" i="5"/>
  <c r="L12" i="5"/>
  <c r="K12" i="5"/>
  <c r="K17" i="5" s="1"/>
  <c r="M9" i="5"/>
  <c r="L9" i="5"/>
  <c r="K9" i="5"/>
  <c r="J9" i="5"/>
  <c r="I9" i="5"/>
  <c r="H9" i="5"/>
  <c r="H18" i="5" s="1"/>
  <c r="H22" i="5" s="1"/>
  <c r="H24" i="5" s="1"/>
  <c r="G9" i="5"/>
  <c r="G18" i="5" s="1"/>
  <c r="G22" i="5" s="1"/>
  <c r="G24" i="5" s="1"/>
  <c r="F9" i="5"/>
  <c r="E9" i="5"/>
  <c r="D9" i="5"/>
  <c r="C9" i="5"/>
  <c r="C18" i="5" s="1"/>
  <c r="B9" i="5"/>
  <c r="N8" i="5"/>
  <c r="N7" i="5"/>
  <c r="N6" i="5"/>
  <c r="N5" i="5"/>
  <c r="N4" i="5"/>
  <c r="H16" i="8"/>
  <c r="H17" i="8"/>
  <c r="H21" i="8" s="1"/>
  <c r="C16" i="8"/>
  <c r="C17" i="8"/>
  <c r="C21" i="8" s="1"/>
  <c r="D16" i="8"/>
  <c r="E16" i="8"/>
  <c r="F16" i="8"/>
  <c r="G16" i="8"/>
  <c r="I16" i="8"/>
  <c r="I17" i="8" s="1"/>
  <c r="I21" i="8"/>
  <c r="J16" i="8"/>
  <c r="J17" i="8" s="1"/>
  <c r="J21" i="8" s="1"/>
  <c r="K16" i="8"/>
  <c r="K17" i="8"/>
  <c r="K21" i="8" s="1"/>
  <c r="L16" i="8"/>
  <c r="M16" i="8"/>
  <c r="M17" i="8" s="1"/>
  <c r="M21" i="8" s="1"/>
  <c r="N16" i="8"/>
  <c r="N19" i="8"/>
  <c r="B16" i="8"/>
  <c r="M19" i="10"/>
  <c r="N19" i="10" s="1"/>
  <c r="L16" i="10"/>
  <c r="K16" i="10"/>
  <c r="J16" i="10"/>
  <c r="I16" i="10"/>
  <c r="H16" i="10"/>
  <c r="G16" i="10"/>
  <c r="F16" i="10"/>
  <c r="E16" i="10"/>
  <c r="D16" i="10"/>
  <c r="C16" i="10"/>
  <c r="M15" i="10"/>
  <c r="N15" i="10" s="1"/>
  <c r="M14" i="10"/>
  <c r="N14" i="10" s="1"/>
  <c r="M13" i="10"/>
  <c r="N13" i="10"/>
  <c r="M12" i="10"/>
  <c r="N12" i="10" s="1"/>
  <c r="M11" i="10"/>
  <c r="L8" i="10"/>
  <c r="K8" i="10"/>
  <c r="J8" i="10"/>
  <c r="I8" i="10"/>
  <c r="I17" i="10" s="1"/>
  <c r="I21" i="10" s="1"/>
  <c r="H8" i="10"/>
  <c r="H17" i="10" s="1"/>
  <c r="H21" i="10" s="1"/>
  <c r="G8" i="10"/>
  <c r="G17" i="10" s="1"/>
  <c r="G21" i="10" s="1"/>
  <c r="F8" i="10"/>
  <c r="D8" i="10"/>
  <c r="D17" i="10" s="1"/>
  <c r="D21" i="10" s="1"/>
  <c r="C8" i="10"/>
  <c r="C17" i="10" s="1"/>
  <c r="C21" i="10" s="1"/>
  <c r="M7" i="10"/>
  <c r="N4" i="10"/>
  <c r="N19" i="9"/>
  <c r="K16" i="9"/>
  <c r="J16" i="9"/>
  <c r="I16" i="9"/>
  <c r="H16" i="9"/>
  <c r="G16" i="9"/>
  <c r="E16" i="9"/>
  <c r="D16" i="9"/>
  <c r="C16" i="9"/>
  <c r="M8" i="9"/>
  <c r="L8" i="9"/>
  <c r="J8" i="9"/>
  <c r="I8" i="9"/>
  <c r="I17" i="9" s="1"/>
  <c r="I21" i="9" s="1"/>
  <c r="H8" i="9"/>
  <c r="G8" i="9"/>
  <c r="G17" i="9" s="1"/>
  <c r="G21" i="9" s="1"/>
  <c r="F8" i="9"/>
  <c r="D8" i="9"/>
  <c r="D17" i="9"/>
  <c r="D21" i="9" s="1"/>
  <c r="C8" i="9"/>
  <c r="B8" i="9"/>
  <c r="M8" i="10"/>
  <c r="N7" i="10"/>
  <c r="J17" i="10"/>
  <c r="J21" i="10" s="1"/>
  <c r="N11" i="10"/>
  <c r="J17" i="9"/>
  <c r="J21" i="9"/>
  <c r="E8" i="9"/>
  <c r="E17" i="9"/>
  <c r="E21" i="9" s="1"/>
  <c r="I18" i="5"/>
  <c r="I22" i="5" s="1"/>
  <c r="I24" i="5" s="1"/>
  <c r="K18" i="5"/>
  <c r="K22" i="5" s="1"/>
  <c r="K24" i="5" s="1"/>
  <c r="C22" i="5"/>
  <c r="C24" i="5"/>
  <c r="N14" i="4"/>
  <c r="D18" i="4"/>
  <c r="D22" i="4"/>
  <c r="D24" i="4" s="1"/>
  <c r="N13" i="4"/>
  <c r="N9" i="5"/>
  <c r="D18" i="5"/>
  <c r="D22" i="5" s="1"/>
  <c r="D24" i="5" s="1"/>
  <c r="B8" i="10"/>
  <c r="B16" i="10"/>
  <c r="K8" i="9"/>
  <c r="K17" i="9"/>
  <c r="K21" i="9"/>
  <c r="K40" i="31" l="1"/>
  <c r="K40" i="32"/>
  <c r="F40" i="32"/>
  <c r="G40" i="31"/>
  <c r="C40" i="31"/>
  <c r="M40" i="29"/>
  <c r="J37" i="26"/>
  <c r="E37" i="26"/>
  <c r="N35" i="25"/>
  <c r="B17" i="8"/>
  <c r="B21" i="8" s="1"/>
  <c r="B22" i="3"/>
  <c r="B24" i="3" s="1"/>
  <c r="N10" i="20"/>
  <c r="N9" i="23"/>
  <c r="F37" i="13"/>
  <c r="N2" i="43"/>
  <c r="N4" i="43" s="1"/>
  <c r="E38" i="17"/>
  <c r="I38" i="21"/>
  <c r="D42" i="48"/>
  <c r="N38" i="48"/>
  <c r="N12" i="22"/>
  <c r="I18" i="4"/>
  <c r="I22" i="4" s="1"/>
  <c r="I24" i="4" s="1"/>
  <c r="F17" i="6"/>
  <c r="F21" i="6" s="1"/>
  <c r="B39" i="28"/>
  <c r="J39" i="25"/>
  <c r="H20" i="55"/>
  <c r="H24" i="55" s="1"/>
  <c r="N2" i="47"/>
  <c r="G17" i="7"/>
  <c r="G21" i="7" s="1"/>
  <c r="J39" i="28"/>
  <c r="N34" i="14"/>
  <c r="B17" i="10"/>
  <c r="B21" i="10" s="1"/>
  <c r="B23" i="23"/>
  <c r="B38" i="23" s="1"/>
  <c r="H25" i="13"/>
  <c r="H37" i="13" s="1"/>
  <c r="B34" i="15"/>
  <c r="B38" i="15" s="1"/>
  <c r="H38" i="21"/>
  <c r="N34" i="22"/>
  <c r="N16" i="6"/>
  <c r="D17" i="8"/>
  <c r="D21" i="8" s="1"/>
  <c r="J25" i="49"/>
  <c r="J29" i="49" s="1"/>
  <c r="F40" i="31"/>
  <c r="I25" i="30"/>
  <c r="I40" i="30" s="1"/>
  <c r="I39" i="25"/>
  <c r="E39" i="25"/>
  <c r="N9" i="31"/>
  <c r="C25" i="11"/>
  <c r="C29" i="11" s="1"/>
  <c r="J40" i="30"/>
  <c r="M39" i="27"/>
  <c r="B18" i="5"/>
  <c r="B22" i="5" s="1"/>
  <c r="K22" i="3"/>
  <c r="K24" i="3" s="1"/>
  <c r="F36" i="14"/>
  <c r="D38" i="15"/>
  <c r="C38" i="15"/>
  <c r="N34" i="16"/>
  <c r="N13" i="17"/>
  <c r="B37" i="24"/>
  <c r="B38" i="16"/>
  <c r="C38" i="16"/>
  <c r="D25" i="49"/>
  <c r="D29" i="49" s="1"/>
  <c r="N36" i="30"/>
  <c r="F39" i="27"/>
  <c r="M37" i="26"/>
  <c r="F17" i="10"/>
  <c r="F21" i="10" s="1"/>
  <c r="E17" i="8"/>
  <c r="E21" i="8" s="1"/>
  <c r="J22" i="3"/>
  <c r="J24" i="3" s="1"/>
  <c r="N28" i="19"/>
  <c r="C37" i="13"/>
  <c r="N2" i="38"/>
  <c r="N3" i="38" s="1"/>
  <c r="C42" i="22"/>
  <c r="N9" i="1"/>
  <c r="E18" i="4"/>
  <c r="E22" i="4" s="1"/>
  <c r="N6" i="7"/>
  <c r="N11" i="9"/>
  <c r="N36" i="31"/>
  <c r="I41" i="54"/>
  <c r="C20" i="55"/>
  <c r="C24" i="55" s="1"/>
  <c r="L17" i="7"/>
  <c r="L21" i="7" s="1"/>
  <c r="G25" i="11"/>
  <c r="G29" i="11" s="1"/>
  <c r="E8" i="10"/>
  <c r="E17" i="10" s="1"/>
  <c r="E21" i="10" s="1"/>
  <c r="N21" i="23"/>
  <c r="N23" i="23" s="1"/>
  <c r="L29" i="22"/>
  <c r="L42" i="22" s="1"/>
  <c r="G20" i="55"/>
  <c r="G24" i="55" s="1"/>
  <c r="K17" i="10"/>
  <c r="K21" i="10" s="1"/>
  <c r="K38" i="19"/>
  <c r="B41" i="46"/>
  <c r="I38" i="16"/>
  <c r="J38" i="20"/>
  <c r="D38" i="20"/>
  <c r="J22" i="2"/>
  <c r="J24" i="2" s="1"/>
  <c r="F25" i="49"/>
  <c r="F29" i="49" s="1"/>
  <c r="J39" i="27"/>
  <c r="H41" i="54"/>
  <c r="N14" i="55"/>
  <c r="M25" i="19"/>
  <c r="M38" i="19" s="1"/>
  <c r="G38" i="16"/>
  <c r="L17" i="10"/>
  <c r="L21" i="10" s="1"/>
  <c r="E18" i="5"/>
  <c r="E22" i="5" s="1"/>
  <c r="E24" i="5" s="1"/>
  <c r="I37" i="12"/>
  <c r="I23" i="23"/>
  <c r="I38" i="23" s="1"/>
  <c r="L37" i="13"/>
  <c r="D4" i="45"/>
  <c r="M38" i="16"/>
  <c r="F38" i="21"/>
  <c r="J42" i="48"/>
  <c r="C25" i="1"/>
  <c r="C27" i="1" s="1"/>
  <c r="B16" i="9"/>
  <c r="B17" i="9" s="1"/>
  <c r="B21" i="9" s="1"/>
  <c r="K25" i="11"/>
  <c r="K29" i="11" s="1"/>
  <c r="F40" i="30"/>
  <c r="N17" i="4"/>
  <c r="N34" i="12"/>
  <c r="N4" i="19"/>
  <c r="N26" i="46"/>
  <c r="L17" i="9"/>
  <c r="L21" i="9" s="1"/>
  <c r="F18" i="5"/>
  <c r="F22" i="5" s="1"/>
  <c r="F24" i="5" s="1"/>
  <c r="M22" i="3"/>
  <c r="M24" i="3" s="1"/>
  <c r="N36" i="16"/>
  <c r="N36" i="18"/>
  <c r="I42" i="48"/>
  <c r="M25" i="1"/>
  <c r="M27" i="1" s="1"/>
  <c r="N15" i="9"/>
  <c r="D25" i="11"/>
  <c r="D29" i="11" s="1"/>
  <c r="K39" i="28"/>
  <c r="B39" i="27"/>
  <c r="N33" i="26"/>
  <c r="K41" i="54"/>
  <c r="F16" i="9"/>
  <c r="F17" i="9" s="1"/>
  <c r="F21" i="9" s="1"/>
  <c r="C17" i="9"/>
  <c r="C21" i="9" s="1"/>
  <c r="L17" i="5"/>
  <c r="L18" i="5" s="1"/>
  <c r="L22" i="5" s="1"/>
  <c r="L24" i="5" s="1"/>
  <c r="N10" i="3"/>
  <c r="D22" i="2"/>
  <c r="D24" i="2" s="1"/>
  <c r="C37" i="12"/>
  <c r="C41" i="33"/>
  <c r="N2" i="40"/>
  <c r="N4" i="40" s="1"/>
  <c r="N35" i="13"/>
  <c r="I37" i="24"/>
  <c r="N31" i="19"/>
  <c r="H42" i="48"/>
  <c r="N16" i="22"/>
  <c r="M18" i="4"/>
  <c r="M22" i="4" s="1"/>
  <c r="M24" i="4" s="1"/>
  <c r="B17" i="7"/>
  <c r="B21" i="7" s="1"/>
  <c r="N24" i="11"/>
  <c r="B40" i="29"/>
  <c r="N6" i="25"/>
  <c r="L41" i="54"/>
  <c r="J41" i="54"/>
  <c r="G41" i="54"/>
  <c r="F41" i="54"/>
  <c r="N34" i="17"/>
  <c r="L38" i="17"/>
  <c r="K38" i="17"/>
  <c r="J38" i="17"/>
  <c r="C38" i="17"/>
  <c r="D38" i="17"/>
  <c r="N34" i="18"/>
  <c r="K38" i="18"/>
  <c r="J38" i="18"/>
  <c r="I38" i="18"/>
  <c r="G38" i="18"/>
  <c r="F38" i="18"/>
  <c r="E38" i="18"/>
  <c r="C38" i="18"/>
  <c r="M20" i="55"/>
  <c r="M24" i="55" s="1"/>
  <c r="L25" i="49"/>
  <c r="L29" i="49" s="1"/>
  <c r="K25" i="49"/>
  <c r="K29" i="49" s="1"/>
  <c r="H25" i="49"/>
  <c r="H29" i="49" s="1"/>
  <c r="J25" i="11"/>
  <c r="J29" i="11" s="1"/>
  <c r="E25" i="11"/>
  <c r="E29" i="11" s="1"/>
  <c r="F25" i="11"/>
  <c r="F29" i="11" s="1"/>
  <c r="N10" i="11"/>
  <c r="I25" i="11"/>
  <c r="I29" i="11" s="1"/>
  <c r="N19" i="57"/>
  <c r="N28" i="57" s="1"/>
  <c r="K10" i="55"/>
  <c r="K20" i="55" s="1"/>
  <c r="K24" i="55" s="1"/>
  <c r="N40" i="56"/>
  <c r="M41" i="54"/>
  <c r="E24" i="4"/>
  <c r="M17" i="9"/>
  <c r="M21" i="9" s="1"/>
  <c r="L19" i="55"/>
  <c r="L20" i="55" s="1"/>
  <c r="L24" i="55" s="1"/>
  <c r="N17" i="55"/>
  <c r="B4" i="47"/>
  <c r="F19" i="55"/>
  <c r="F20" i="55" s="1"/>
  <c r="F24" i="55" s="1"/>
  <c r="D22" i="3"/>
  <c r="D24" i="3" s="1"/>
  <c r="N20" i="2"/>
  <c r="J41" i="33"/>
  <c r="F38" i="19"/>
  <c r="N25" i="15"/>
  <c r="B3" i="38"/>
  <c r="N2" i="36"/>
  <c r="N3" i="36" s="1"/>
  <c r="N35" i="24"/>
  <c r="B25" i="19"/>
  <c r="N5" i="19"/>
  <c r="N23" i="5"/>
  <c r="N2" i="44"/>
  <c r="N4" i="44" s="1"/>
  <c r="N37" i="46"/>
  <c r="N41" i="46" s="1"/>
  <c r="K42" i="48"/>
  <c r="E42" i="48"/>
  <c r="F41" i="46"/>
  <c r="E29" i="22"/>
  <c r="E42" i="22" s="1"/>
  <c r="N26" i="22"/>
  <c r="N29" i="22" s="1"/>
  <c r="B25" i="1"/>
  <c r="B27" i="1" s="1"/>
  <c r="N10" i="2"/>
  <c r="N22" i="2" s="1"/>
  <c r="N24" i="2" s="1"/>
  <c r="N9" i="4"/>
  <c r="N18" i="4" s="1"/>
  <c r="L18" i="4"/>
  <c r="L22" i="4" s="1"/>
  <c r="L24" i="4" s="1"/>
  <c r="N17" i="8"/>
  <c r="N21" i="8" s="1"/>
  <c r="N14" i="9"/>
  <c r="N16" i="9" s="1"/>
  <c r="N17" i="9" s="1"/>
  <c r="N21" i="9" s="1"/>
  <c r="M16" i="9"/>
  <c r="N35" i="28"/>
  <c r="N39" i="27"/>
  <c r="N16" i="10"/>
  <c r="N17" i="10" s="1"/>
  <c r="N21" i="10" s="1"/>
  <c r="M25" i="18"/>
  <c r="M38" i="18" s="1"/>
  <c r="D38" i="21"/>
  <c r="N25" i="21"/>
  <c r="E25" i="30"/>
  <c r="E40" i="30" s="1"/>
  <c r="N9" i="30"/>
  <c r="E10" i="55"/>
  <c r="E20" i="55" s="1"/>
  <c r="E24" i="55" s="1"/>
  <c r="N6" i="55"/>
  <c r="M16" i="10"/>
  <c r="M17" i="10" s="1"/>
  <c r="M21" i="10" s="1"/>
  <c r="B41" i="33"/>
  <c r="N24" i="14"/>
  <c r="N36" i="14" s="1"/>
  <c r="N23" i="16"/>
  <c r="N25" i="16" s="1"/>
  <c r="N38" i="16" s="1"/>
  <c r="N2" i="42"/>
  <c r="N4" i="42" s="1"/>
  <c r="N16" i="49"/>
  <c r="D23" i="25"/>
  <c r="D39" i="25" s="1"/>
  <c r="N9" i="25"/>
  <c r="B24" i="5"/>
  <c r="N12" i="5"/>
  <c r="N13" i="5"/>
  <c r="H17" i="9"/>
  <c r="H21" i="9" s="1"/>
  <c r="H10" i="3"/>
  <c r="H22" i="3" s="1"/>
  <c r="H24" i="3" s="1"/>
  <c r="N20" i="3"/>
  <c r="N22" i="3" s="1"/>
  <c r="N24" i="3" s="1"/>
  <c r="C22" i="3"/>
  <c r="C24" i="3" s="1"/>
  <c r="N24" i="12"/>
  <c r="D37" i="12"/>
  <c r="N35" i="12"/>
  <c r="N26" i="33"/>
  <c r="N41" i="33" s="1"/>
  <c r="K41" i="33"/>
  <c r="D23" i="23"/>
  <c r="D38" i="23" s="1"/>
  <c r="L23" i="23"/>
  <c r="L38" i="23" s="1"/>
  <c r="M36" i="23"/>
  <c r="M38" i="23" s="1"/>
  <c r="N26" i="23"/>
  <c r="E4" i="41"/>
  <c r="N2" i="41"/>
  <c r="N4" i="41" s="1"/>
  <c r="E36" i="14"/>
  <c r="N2" i="37"/>
  <c r="N3" i="37" s="1"/>
  <c r="N24" i="15"/>
  <c r="B4" i="43"/>
  <c r="F23" i="24"/>
  <c r="F37" i="24" s="1"/>
  <c r="M23" i="24"/>
  <c r="M37" i="24" s="1"/>
  <c r="L37" i="24"/>
  <c r="C23" i="24"/>
  <c r="C37" i="24" s="1"/>
  <c r="N9" i="24"/>
  <c r="N23" i="24" s="1"/>
  <c r="N37" i="24" s="1"/>
  <c r="B34" i="19"/>
  <c r="N34" i="19" s="1"/>
  <c r="J34" i="15"/>
  <c r="J38" i="15" s="1"/>
  <c r="N30" i="15"/>
  <c r="N34" i="15" s="1"/>
  <c r="I34" i="15"/>
  <c r="I38" i="15" s="1"/>
  <c r="N33" i="15"/>
  <c r="D38" i="16"/>
  <c r="N24" i="18"/>
  <c r="N16" i="18"/>
  <c r="N4" i="18"/>
  <c r="H38" i="18"/>
  <c r="N25" i="20"/>
  <c r="N38" i="20" s="1"/>
  <c r="B38" i="20"/>
  <c r="E38" i="20"/>
  <c r="J41" i="46"/>
  <c r="E17" i="7"/>
  <c r="E21" i="7" s="1"/>
  <c r="N36" i="29"/>
  <c r="N2" i="45"/>
  <c r="N4" i="45" s="1"/>
  <c r="N4" i="47"/>
  <c r="K38" i="16"/>
  <c r="E38" i="16"/>
  <c r="N25" i="17"/>
  <c r="M34" i="17"/>
  <c r="M38" i="17" s="1"/>
  <c r="F38" i="17"/>
  <c r="F38" i="20"/>
  <c r="N34" i="21"/>
  <c r="M38" i="21"/>
  <c r="E38" i="21"/>
  <c r="C41" i="46"/>
  <c r="N11" i="46"/>
  <c r="B42" i="22"/>
  <c r="K29" i="22"/>
  <c r="N10" i="48"/>
  <c r="L29" i="48"/>
  <c r="L42" i="48" s="1"/>
  <c r="J17" i="6"/>
  <c r="J21" i="6" s="1"/>
  <c r="N16" i="7"/>
  <c r="H17" i="7"/>
  <c r="H21" i="7" s="1"/>
  <c r="N25" i="30"/>
  <c r="N40" i="30" s="1"/>
  <c r="N36" i="17"/>
  <c r="I38" i="17"/>
  <c r="B25" i="18"/>
  <c r="B38" i="18" s="1"/>
  <c r="D38" i="18"/>
  <c r="M41" i="46"/>
  <c r="M42" i="22"/>
  <c r="J42" i="22"/>
  <c r="F42" i="22"/>
  <c r="N32" i="22"/>
  <c r="K38" i="22"/>
  <c r="N38" i="22" s="1"/>
  <c r="N22" i="1"/>
  <c r="B17" i="6"/>
  <c r="B21" i="6" s="1"/>
  <c r="N8" i="6"/>
  <c r="N17" i="6" s="1"/>
  <c r="N21" i="6" s="1"/>
  <c r="B40" i="30"/>
  <c r="I40" i="29"/>
  <c r="N9" i="26"/>
  <c r="N23" i="26" s="1"/>
  <c r="N37" i="26" s="1"/>
  <c r="E41" i="54"/>
  <c r="N37" i="54"/>
  <c r="B41" i="54"/>
  <c r="N28" i="54"/>
  <c r="H25" i="1"/>
  <c r="H27" i="1" s="1"/>
  <c r="E17" i="6"/>
  <c r="E21" i="6" s="1"/>
  <c r="N8" i="7"/>
  <c r="N17" i="7" s="1"/>
  <c r="N21" i="7" s="1"/>
  <c r="N10" i="49"/>
  <c r="N9" i="32"/>
  <c r="N25" i="32" s="1"/>
  <c r="N40" i="32" s="1"/>
  <c r="N25" i="31"/>
  <c r="N40" i="31" s="1"/>
  <c r="B40" i="31"/>
  <c r="E40" i="31"/>
  <c r="L25" i="1"/>
  <c r="L27" i="1" s="1"/>
  <c r="N24" i="49"/>
  <c r="N9" i="29"/>
  <c r="N25" i="29" s="1"/>
  <c r="N24" i="28"/>
  <c r="C23" i="25"/>
  <c r="C39" i="25" s="1"/>
  <c r="N16" i="25"/>
  <c r="B25" i="49"/>
  <c r="B29" i="49" s="1"/>
  <c r="B25" i="32"/>
  <c r="B40" i="32" s="1"/>
  <c r="N17" i="5" l="1"/>
  <c r="N18" i="5" s="1"/>
  <c r="N40" i="29"/>
  <c r="N25" i="11"/>
  <c r="N29" i="11" s="1"/>
  <c r="O27" i="11" s="1"/>
  <c r="N25" i="1"/>
  <c r="N27" i="1" s="1"/>
  <c r="N25" i="13"/>
  <c r="N37" i="13" s="1"/>
  <c r="N38" i="21"/>
  <c r="N22" i="5"/>
  <c r="N24" i="5" s="1"/>
  <c r="N29" i="48"/>
  <c r="N42" i="48" s="1"/>
  <c r="N25" i="18"/>
  <c r="N38" i="18" s="1"/>
  <c r="N19" i="55"/>
  <c r="N42" i="22"/>
  <c r="N39" i="28"/>
  <c r="B38" i="19"/>
  <c r="N25" i="19"/>
  <c r="N38" i="19" s="1"/>
  <c r="N38" i="15"/>
  <c r="N23" i="25"/>
  <c r="N39" i="25" s="1"/>
  <c r="N10" i="55"/>
  <c r="N36" i="23"/>
  <c r="N38" i="23" s="1"/>
  <c r="K42" i="22"/>
  <c r="N25" i="49"/>
  <c r="N29" i="49" s="1"/>
  <c r="N41" i="54"/>
  <c r="N38" i="17"/>
  <c r="N37" i="12"/>
  <c r="N22" i="4"/>
  <c r="N24" i="4" s="1"/>
  <c r="N20" i="55" l="1"/>
  <c r="N24" i="55" s="1"/>
</calcChain>
</file>

<file path=xl/sharedStrings.xml><?xml version="1.0" encoding="utf-8"?>
<sst xmlns="http://schemas.openxmlformats.org/spreadsheetml/2006/main" count="2217" uniqueCount="170">
  <si>
    <t>Meter Location</t>
  </si>
  <si>
    <t>Symons Campus</t>
  </si>
  <si>
    <t>Blackburn Hall</t>
  </si>
  <si>
    <t>Symons Campus Totals</t>
  </si>
  <si>
    <t>Traill College Totals</t>
  </si>
  <si>
    <t>Data for Nautral Gas is the Adjusted Volume.</t>
  </si>
  <si>
    <t>Data for Electricity is the consumption value and does not include line loss.</t>
  </si>
  <si>
    <t>Forensics</t>
  </si>
  <si>
    <t>Traill College</t>
  </si>
  <si>
    <t>Unit ten3</t>
  </si>
  <si>
    <t>553 Reid</t>
  </si>
  <si>
    <t>293 LONDON</t>
  </si>
  <si>
    <t>Traill Campus</t>
  </si>
  <si>
    <t>780 Argyle</t>
  </si>
  <si>
    <t>Bolton Farm</t>
  </si>
  <si>
    <t xml:space="preserve">Traill College  </t>
  </si>
  <si>
    <t>Purchased Electricity</t>
  </si>
  <si>
    <t>Generated Electricity</t>
  </si>
  <si>
    <t>Total Consumption</t>
  </si>
  <si>
    <t>Durham</t>
  </si>
  <si>
    <t>Durham Campus</t>
  </si>
  <si>
    <t>Bata and Champlain</t>
  </si>
  <si>
    <t>MNR Storage</t>
  </si>
  <si>
    <t>DNA A &amp; B</t>
  </si>
  <si>
    <t>Athletics</t>
  </si>
  <si>
    <t>Student Centre</t>
  </si>
  <si>
    <t>no data</t>
  </si>
  <si>
    <t>Child Care</t>
  </si>
  <si>
    <t>Bata Library</t>
  </si>
  <si>
    <t>Science Complex</t>
  </si>
  <si>
    <t>Chemical Science Building</t>
  </si>
  <si>
    <t>Champlain College</t>
  </si>
  <si>
    <t>Totals</t>
  </si>
  <si>
    <t>Warren Garden</t>
  </si>
  <si>
    <t>Soccer Field</t>
  </si>
  <si>
    <t xml:space="preserve">780 Argyle </t>
  </si>
  <si>
    <t>Location</t>
  </si>
  <si>
    <t>Total Litres</t>
  </si>
  <si>
    <t>Mackenzie House (Symons campus)</t>
  </si>
  <si>
    <t>Bolton Farm House</t>
  </si>
  <si>
    <t>Oliver Property (propane)</t>
  </si>
  <si>
    <t>Missing Weather Station Data for June - estimateed using average of the two adjacent months.</t>
  </si>
  <si>
    <t>n/a</t>
  </si>
  <si>
    <t>Missing data for Aug - Nov for Durham, used average of two adjacent months</t>
  </si>
  <si>
    <t>Data has been recorded from the orinigal bills by the SO.  The bill for the given month is recorded at face value without any correction, with the exception of Enbridge 'billing corrections' which are refelcted.</t>
  </si>
  <si>
    <t>Symons Campus Total</t>
  </si>
  <si>
    <t>Traill College Total</t>
  </si>
  <si>
    <t xml:space="preserve">Traill College Total </t>
  </si>
  <si>
    <t>Trent Total Consumption</t>
  </si>
  <si>
    <t>Peterborough Total (Symons&amp;Traill)</t>
  </si>
  <si>
    <t>Peterborough Total (Symons &amp; Traill)</t>
  </si>
  <si>
    <t xml:space="preserve">Symons Campus  </t>
  </si>
  <si>
    <t>Total Trent Consumption</t>
  </si>
  <si>
    <t>Bata Rentals</t>
  </si>
  <si>
    <t>Peterborough Total (Symons, Traill &amp; Bata Rentals)</t>
  </si>
  <si>
    <t>Symons Campus (excluding meters below)</t>
  </si>
  <si>
    <t>Bata Rental Total</t>
  </si>
  <si>
    <t>Weather Station</t>
  </si>
  <si>
    <t>Ground Building</t>
  </si>
  <si>
    <t>Power House</t>
  </si>
  <si>
    <t>Trent Market Garden</t>
  </si>
  <si>
    <t>Trent Total Natural Gas Use</t>
  </si>
  <si>
    <t>Missing Whittington data for nov - assumed 0</t>
  </si>
  <si>
    <t xml:space="preserve">Symons Campus </t>
  </si>
  <si>
    <t xml:space="preserve">Traill College </t>
  </si>
  <si>
    <t xml:space="preserve">Durham Campus </t>
  </si>
  <si>
    <t xml:space="preserve">Trent Total Natural Gas Use </t>
  </si>
  <si>
    <t>Trent Total Water Use</t>
  </si>
  <si>
    <t>Every effort has been made to provide as complete data as possible.</t>
  </si>
  <si>
    <t>Lady Eaton South</t>
  </si>
  <si>
    <t>Otonabee South</t>
  </si>
  <si>
    <t>Otonabee North</t>
  </si>
  <si>
    <t>Wenjack Theatre</t>
  </si>
  <si>
    <t>Champlain northeast Quad</t>
  </si>
  <si>
    <t>Env Sci C wing</t>
  </si>
  <si>
    <t>Champlain North Quad</t>
  </si>
  <si>
    <t>Lady Eaton Commons</t>
  </si>
  <si>
    <t>Lady Eaton North</t>
  </si>
  <si>
    <t>Childcare</t>
  </si>
  <si>
    <t>Champlain West Quad</t>
  </si>
  <si>
    <t>Gounds Building</t>
  </si>
  <si>
    <t>Enwayaang</t>
  </si>
  <si>
    <t>DNA C &amp; Life and Health Science</t>
  </si>
  <si>
    <t>Charlott Street (rental for Bata reno)</t>
  </si>
  <si>
    <t>Whittington (rental for Bata reno)</t>
  </si>
  <si>
    <t>Kerr House</t>
  </si>
  <si>
    <t>Bagnanni</t>
  </si>
  <si>
    <t>Scott House</t>
  </si>
  <si>
    <t>Crawford House</t>
  </si>
  <si>
    <t>Fry Lodge (formerly Principal's Lodge)</t>
  </si>
  <si>
    <t>Wallis Hall</t>
  </si>
  <si>
    <t>Science Complex, Chem Sci, Env Sci, Otonabee Academic</t>
  </si>
  <si>
    <t>Lady Eaton Kitchen (hot water)</t>
  </si>
  <si>
    <t>Langton House</t>
  </si>
  <si>
    <t>Whittington 2 (rental for Bata reno)</t>
  </si>
  <si>
    <t>Whittington 3  (rental for Bata reno)</t>
  </si>
  <si>
    <t>Shoppers/Charlotte (rental for Bata reno)</t>
  </si>
  <si>
    <t xml:space="preserve">Fry House (Formerly Principal's Lodge) </t>
  </si>
  <si>
    <t>Stewart House Heating</t>
  </si>
  <si>
    <t>Stewart House Power/Lights</t>
  </si>
  <si>
    <t>Scott House/Wallis Hall/Crawford</t>
  </si>
  <si>
    <t>Stewart House Power/Lighting</t>
  </si>
  <si>
    <t>Bradburn House</t>
  </si>
  <si>
    <t>Scott House/Wallis Hall/Crawford House</t>
  </si>
  <si>
    <t>flat rate</t>
  </si>
  <si>
    <t>Steward House</t>
  </si>
  <si>
    <t>Bagnanni Hall</t>
  </si>
  <si>
    <t>Wallis Hall North</t>
  </si>
  <si>
    <t>Wallis Hall South</t>
  </si>
  <si>
    <t>Fry Lodge (formerly Pricipal's)</t>
  </si>
  <si>
    <t>Water accounts indicating "flat rate" were not metered at the time and therfore do not have any usage data.</t>
  </si>
  <si>
    <t>Any issues/errors identified should be reported to the SO by emailing shelleystrain@trentu.ca.</t>
  </si>
  <si>
    <t>Fry House (formerly Principal's Lodge)</t>
  </si>
  <si>
    <t>Propane Total</t>
  </si>
  <si>
    <t>Shoppers - Rental for Bata Reno.</t>
  </si>
  <si>
    <t>Environmental Science</t>
  </si>
  <si>
    <t>Lady Eaton north residence</t>
  </si>
  <si>
    <t>Lady Eaton south residence</t>
  </si>
  <si>
    <t>MacKenzie House</t>
  </si>
  <si>
    <t>Archaeology Building</t>
  </si>
  <si>
    <t>Otonabee Academic</t>
  </si>
  <si>
    <t>Otonabee College south residence</t>
  </si>
  <si>
    <t>Otonabee College north residence</t>
  </si>
  <si>
    <t>Life and Heath Sciences</t>
  </si>
  <si>
    <t>missing July Enwayaang data - used average of two adjacent months.</t>
  </si>
  <si>
    <t>Missing Sept data for Scott, Crawford, Wallis and Fry and August for Crawford - used average of adjacent months.</t>
  </si>
  <si>
    <t>Missing Charlotte Street data for December - used the average of the two adjacent months</t>
  </si>
  <si>
    <t>Mackenzie House had a meter installed May 1, 2013 - first bill June/13.  Previously this water was metered under Enwayaang.</t>
  </si>
  <si>
    <t>Trent sold Langton House and Bradburn house in the fall of 2009.</t>
  </si>
  <si>
    <t>Argyle was sold in the fall of 2007.</t>
  </si>
  <si>
    <t>Total kWh</t>
  </si>
  <si>
    <r>
      <t>Total m</t>
    </r>
    <r>
      <rPr>
        <b/>
        <vertAlign val="superscript"/>
        <sz val="11"/>
        <rFont val="Times New Roman"/>
        <family val="1"/>
      </rPr>
      <t>3</t>
    </r>
  </si>
  <si>
    <r>
      <t>Total m</t>
    </r>
    <r>
      <rPr>
        <b/>
        <vertAlign val="superscript"/>
        <sz val="11"/>
        <color theme="1"/>
        <rFont val="Times New Roman"/>
        <family val="1"/>
      </rPr>
      <t>3</t>
    </r>
  </si>
  <si>
    <t>Shoppers - Rental for Bata Renovations</t>
  </si>
  <si>
    <r>
      <t>Data is in the following units: Electricity - kWh, Natural Gas - m</t>
    </r>
    <r>
      <rPr>
        <vertAlign val="superscript"/>
        <sz val="11"/>
        <color theme="1"/>
        <rFont val="Calibri"/>
        <family val="2"/>
        <scheme val="minor"/>
      </rPr>
      <t>3</t>
    </r>
    <r>
      <rPr>
        <sz val="11"/>
        <color theme="1"/>
        <rFont val="Calibri"/>
        <family val="2"/>
        <scheme val="minor"/>
      </rPr>
      <t>, Water m</t>
    </r>
    <r>
      <rPr>
        <vertAlign val="superscript"/>
        <sz val="11"/>
        <color theme="1"/>
        <rFont val="Calibri"/>
        <family val="2"/>
        <scheme val="minor"/>
      </rPr>
      <t xml:space="preserve">3, </t>
    </r>
    <r>
      <rPr>
        <sz val="11"/>
        <color theme="1"/>
        <rFont val="Calibri"/>
        <family val="2"/>
        <scheme val="minor"/>
      </rPr>
      <t>Oil - L and Propane - L.</t>
    </r>
  </si>
  <si>
    <t>Electricity data for 2007-2011 include 'generated electricity', this accounts for electricity from the Stan Adamson Power House.  This generation is now owned by the Local Distribution Company.</t>
  </si>
  <si>
    <t>The SO currently has incomplete data for the Forensics Facility and will endeavour to complete this set.</t>
  </si>
  <si>
    <t>Each sheet is coded by utility and year.  For example E07 is electricity for 2007, G15 is natural gas for 2015, etc.</t>
  </si>
  <si>
    <t>Data and totals may have some inconsistencies to other sets for a number of reasons such as reporting requirements and correcting for billing dates.   For example, reporting to 397/11 would not include the weather station and would have january and december data pro-rated to the calendar year.</t>
  </si>
  <si>
    <t xml:space="preserve"> </t>
  </si>
  <si>
    <t>vacant</t>
  </si>
  <si>
    <t>Main Admin</t>
  </si>
  <si>
    <t>New college</t>
  </si>
  <si>
    <t>The data provided here is continuous from January 2007 through December 2020.</t>
  </si>
  <si>
    <t>Durham Campus Total</t>
  </si>
  <si>
    <t>Main Building</t>
  </si>
  <si>
    <t>Residence</t>
  </si>
  <si>
    <t>Additional Properties</t>
  </si>
  <si>
    <t>594 Reid St</t>
  </si>
  <si>
    <t>*new</t>
  </si>
  <si>
    <t>598 Reid St</t>
  </si>
  <si>
    <t>Total</t>
  </si>
  <si>
    <t>594 Reid</t>
  </si>
  <si>
    <t>?</t>
  </si>
  <si>
    <t>598 Reid</t>
  </si>
  <si>
    <t>*may is not a typo</t>
  </si>
  <si>
    <t>Scope 1</t>
  </si>
  <si>
    <t>Scope 2</t>
  </si>
  <si>
    <t>Annual GHG Estimate (tonnes)</t>
  </si>
  <si>
    <t>Natural Gas</t>
  </si>
  <si>
    <t>Fuel Oil</t>
  </si>
  <si>
    <t>Fleet</t>
  </si>
  <si>
    <t>Fugitive</t>
  </si>
  <si>
    <t>Propane</t>
  </si>
  <si>
    <t>Grounds Gasoline (non-fleet)</t>
  </si>
  <si>
    <t>Grounds Diesel</t>
  </si>
  <si>
    <t>Stationary Diesel</t>
  </si>
  <si>
    <t>GHGs: Electricity</t>
  </si>
  <si>
    <t>not tracked</t>
  </si>
  <si>
    <t>2020 values are temporarily being used for 2021/22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</si>
</sst>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font>
      <sz val="11"/>
      <color theme="1"/>
      <name val="Calibri"/>
      <family val="2"/>
      <scheme val="minor"/>
    </font>
    <font>
      <sz val="10"/>
      <name val="Arial"/>
      <family val="2"/>
    </font>
    <font>
      <b/>
      <sz val="11"/>
      <name val="Times New Roman"/>
      <family val="1"/>
    </font>
    <font>
      <sz val="11"/>
      <name val="Times New Roman"/>
      <family val="1"/>
    </font>
    <font>
      <b/>
      <i/>
      <sz val="11"/>
      <name val="Times New Roman"/>
      <family val="1"/>
    </font>
    <font>
      <sz val="11"/>
      <color theme="1"/>
      <name val="Times New Roman"/>
      <family val="1"/>
    </font>
    <font>
      <b/>
      <i/>
      <sz val="11"/>
      <color theme="1"/>
      <name val="Times New Roman"/>
      <family val="1"/>
    </font>
    <font>
      <b/>
      <sz val="11"/>
      <color theme="1"/>
      <name val="Times New Roman"/>
      <family val="1"/>
    </font>
    <font>
      <sz val="12"/>
      <name val="Arial MT"/>
    </font>
    <font>
      <vertAlign val="superscript"/>
      <sz val="11"/>
      <color theme="1"/>
      <name val="Calibri"/>
      <family val="2"/>
      <scheme val="minor"/>
    </font>
    <font>
      <sz val="11"/>
      <name val="Calibri"/>
      <family val="2"/>
      <scheme val="minor"/>
    </font>
    <font>
      <b/>
      <sz val="11"/>
      <name val="Calibri"/>
      <family val="2"/>
      <scheme val="minor"/>
    </font>
    <font>
      <i/>
      <sz val="11"/>
      <color theme="1"/>
      <name val="Times New Roman"/>
      <family val="1"/>
    </font>
    <font>
      <b/>
      <vertAlign val="superscript"/>
      <sz val="11"/>
      <name val="Times New Roman"/>
      <family val="1"/>
    </font>
    <font>
      <b/>
      <vertAlign val="superscript"/>
      <sz val="11"/>
      <color theme="1"/>
      <name val="Times New Roman"/>
      <family val="1"/>
    </font>
    <font>
      <b/>
      <sz val="11"/>
      <color theme="1"/>
      <name val="Calibri"/>
      <family val="2"/>
      <scheme val="minor"/>
    </font>
    <font>
      <sz val="11"/>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diagonal/>
    </border>
    <border>
      <left style="medium">
        <color auto="1"/>
      </left>
      <right/>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style="double">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style="medium">
        <color auto="1"/>
      </right>
      <top style="thin">
        <color auto="1"/>
      </top>
      <bottom style="double">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medium">
        <color indexed="64"/>
      </left>
      <right style="thin">
        <color auto="1"/>
      </right>
      <top style="thin">
        <color auto="1"/>
      </top>
      <bottom style="double">
        <color auto="1"/>
      </bottom>
      <diagonal/>
    </border>
    <border>
      <left style="thin">
        <color auto="1"/>
      </left>
      <right style="medium">
        <color auto="1"/>
      </right>
      <top style="medium">
        <color auto="1"/>
      </top>
      <bottom style="double">
        <color indexed="64"/>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3">
    <xf numFmtId="0" fontId="0" fillId="0" borderId="0"/>
    <xf numFmtId="0" fontId="8" fillId="0" borderId="0"/>
    <xf numFmtId="44" fontId="16" fillId="0" borderId="0" applyFont="0" applyFill="0" applyBorder="0" applyAlignment="0" applyProtection="0"/>
  </cellStyleXfs>
  <cellXfs count="391">
    <xf numFmtId="0" fontId="0" fillId="0" borderId="0" xfId="0"/>
    <xf numFmtId="0" fontId="2" fillId="2" borderId="1" xfId="0" applyFont="1" applyFill="1" applyBorder="1" applyAlignment="1">
      <alignment vertical="top" wrapText="1"/>
    </xf>
    <xf numFmtId="17" fontId="2" fillId="2" borderId="1" xfId="0" applyNumberFormat="1" applyFont="1" applyFill="1" applyBorder="1" applyAlignment="1">
      <alignment vertical="top"/>
    </xf>
    <xf numFmtId="0" fontId="3" fillId="0" borderId="7" xfId="0" applyFont="1" applyBorder="1" applyAlignment="1">
      <alignment vertical="top"/>
    </xf>
    <xf numFmtId="0" fontId="2" fillId="0" borderId="0" xfId="0" applyFont="1" applyAlignment="1">
      <alignment vertical="top"/>
    </xf>
    <xf numFmtId="0" fontId="3" fillId="0" borderId="4" xfId="0" applyFont="1" applyBorder="1" applyAlignment="1">
      <alignment vertical="top"/>
    </xf>
    <xf numFmtId="0" fontId="2" fillId="0" borderId="0" xfId="0" applyFont="1" applyAlignment="1">
      <alignment vertical="top" wrapText="1"/>
    </xf>
    <xf numFmtId="0" fontId="2" fillId="2" borderId="12" xfId="0" applyFont="1" applyFill="1" applyBorder="1" applyAlignment="1">
      <alignment vertical="top" wrapText="1"/>
    </xf>
    <xf numFmtId="3" fontId="3" fillId="0" borderId="6" xfId="0" applyNumberFormat="1" applyFont="1" applyBorder="1" applyAlignment="1">
      <alignment horizontal="right" vertical="center"/>
    </xf>
    <xf numFmtId="3" fontId="3" fillId="0" borderId="8" xfId="0" applyNumberFormat="1" applyFont="1" applyBorder="1" applyAlignment="1">
      <alignment horizontal="right" vertical="center"/>
    </xf>
    <xf numFmtId="3" fontId="3" fillId="0" borderId="15" xfId="0" applyNumberFormat="1" applyFont="1" applyBorder="1" applyAlignment="1">
      <alignment horizontal="right" vertical="center"/>
    </xf>
    <xf numFmtId="3" fontId="2" fillId="2" borderId="17" xfId="0" applyNumberFormat="1" applyFont="1" applyFill="1" applyBorder="1" applyAlignment="1">
      <alignment horizontal="right" vertical="center"/>
    </xf>
    <xf numFmtId="0" fontId="2" fillId="2" borderId="9" xfId="0" applyFont="1" applyFill="1" applyBorder="1" applyAlignment="1">
      <alignment vertical="top" wrapText="1"/>
    </xf>
    <xf numFmtId="0" fontId="3" fillId="0" borderId="7" xfId="0" applyFont="1" applyBorder="1" applyAlignment="1">
      <alignment horizontal="left" vertical="center"/>
    </xf>
    <xf numFmtId="3" fontId="5" fillId="0" borderId="5" xfId="0" applyNumberFormat="1" applyFont="1" applyBorder="1" applyAlignment="1">
      <alignment horizontal="right" vertical="center"/>
    </xf>
    <xf numFmtId="3" fontId="5" fillId="0" borderId="1" xfId="0" applyNumberFormat="1" applyFont="1" applyBorder="1" applyAlignment="1">
      <alignment horizontal="right" vertical="center"/>
    </xf>
    <xf numFmtId="3" fontId="5" fillId="0" borderId="2" xfId="0" applyNumberFormat="1" applyFont="1" applyBorder="1" applyAlignment="1">
      <alignment horizontal="right" vertical="center"/>
    </xf>
    <xf numFmtId="0" fontId="5" fillId="0" borderId="0" xfId="0" applyFont="1"/>
    <xf numFmtId="0" fontId="6" fillId="2" borderId="12" xfId="0" applyFont="1" applyFill="1" applyBorder="1"/>
    <xf numFmtId="0" fontId="6" fillId="0" borderId="0" xfId="0" applyFont="1"/>
    <xf numFmtId="0" fontId="6" fillId="2" borderId="9" xfId="0" applyFont="1" applyFill="1" applyBorder="1"/>
    <xf numFmtId="0" fontId="7" fillId="0" borderId="0" xfId="0" applyFont="1"/>
    <xf numFmtId="3" fontId="5" fillId="0" borderId="0" xfId="0" applyNumberFormat="1" applyFont="1"/>
    <xf numFmtId="0" fontId="7" fillId="2" borderId="1" xfId="0" applyFont="1" applyFill="1" applyBorder="1" applyAlignment="1">
      <alignment wrapText="1"/>
    </xf>
    <xf numFmtId="0" fontId="6" fillId="2" borderId="4" xfId="0" applyFont="1" applyFill="1" applyBorder="1"/>
    <xf numFmtId="0" fontId="5" fillId="0" borderId="7" xfId="0" applyFont="1" applyBorder="1"/>
    <xf numFmtId="0" fontId="6" fillId="2" borderId="7" xfId="0" applyFont="1" applyFill="1" applyBorder="1"/>
    <xf numFmtId="16" fontId="5" fillId="0" borderId="0" xfId="0" applyNumberFormat="1" applyFont="1"/>
    <xf numFmtId="0" fontId="5" fillId="0" borderId="4" xfId="0" applyFont="1" applyBorder="1" applyAlignment="1">
      <alignment wrapText="1"/>
    </xf>
    <xf numFmtId="0" fontId="5" fillId="0" borderId="0" xfId="0" applyFont="1" applyAlignment="1">
      <alignment horizontal="left"/>
    </xf>
    <xf numFmtId="17" fontId="2" fillId="0" borderId="0" xfId="0" applyNumberFormat="1" applyFont="1" applyAlignment="1">
      <alignment vertical="top"/>
    </xf>
    <xf numFmtId="0" fontId="2" fillId="0" borderId="19" xfId="0" applyFont="1" applyBorder="1" applyAlignment="1">
      <alignment vertical="top"/>
    </xf>
    <xf numFmtId="17" fontId="4" fillId="0" borderId="0" xfId="0" applyNumberFormat="1" applyFont="1" applyAlignment="1">
      <alignment vertical="top"/>
    </xf>
    <xf numFmtId="0" fontId="5" fillId="0" borderId="1" xfId="0" applyFont="1" applyBorder="1" applyAlignment="1">
      <alignment wrapText="1"/>
    </xf>
    <xf numFmtId="3" fontId="5" fillId="0" borderId="1" xfId="0" applyNumberFormat="1" applyFont="1" applyBorder="1" applyAlignment="1">
      <alignment horizontal="right" wrapText="1"/>
    </xf>
    <xf numFmtId="17" fontId="2" fillId="2" borderId="13" xfId="0" applyNumberFormat="1" applyFont="1" applyFill="1" applyBorder="1" applyAlignment="1">
      <alignment vertical="top"/>
    </xf>
    <xf numFmtId="0" fontId="2" fillId="2" borderId="14" xfId="0" applyFont="1" applyFill="1" applyBorder="1" applyAlignment="1">
      <alignment vertical="top"/>
    </xf>
    <xf numFmtId="0" fontId="2" fillId="0" borderId="0" xfId="0" applyFont="1" applyAlignment="1">
      <alignment vertical="center" wrapText="1"/>
    </xf>
    <xf numFmtId="3" fontId="3" fillId="0" borderId="1" xfId="0" applyNumberFormat="1" applyFont="1" applyBorder="1" applyAlignment="1">
      <alignment horizontal="right" vertical="center"/>
    </xf>
    <xf numFmtId="0" fontId="2" fillId="0" borderId="0" xfId="0" applyFont="1" applyAlignment="1">
      <alignment horizontal="left" vertical="top" wrapText="1"/>
    </xf>
    <xf numFmtId="0" fontId="4" fillId="2" borderId="4" xfId="0" applyFont="1" applyFill="1" applyBorder="1" applyAlignment="1">
      <alignment horizontal="left" vertical="center"/>
    </xf>
    <xf numFmtId="3" fontId="4" fillId="2" borderId="5" xfId="0" applyNumberFormat="1" applyFont="1" applyFill="1" applyBorder="1" applyAlignment="1">
      <alignment horizontal="right" vertical="center"/>
    </xf>
    <xf numFmtId="3" fontId="4" fillId="2" borderId="6" xfId="0" applyNumberFormat="1" applyFont="1" applyFill="1" applyBorder="1" applyAlignment="1">
      <alignment horizontal="right" vertical="center"/>
    </xf>
    <xf numFmtId="0" fontId="6" fillId="2" borderId="7" xfId="0" applyFont="1" applyFill="1" applyBorder="1" applyAlignment="1">
      <alignment horizontal="left"/>
    </xf>
    <xf numFmtId="0" fontId="6" fillId="2" borderId="9" xfId="0" applyFont="1" applyFill="1" applyBorder="1" applyAlignment="1">
      <alignment horizontal="left"/>
    </xf>
    <xf numFmtId="0" fontId="4" fillId="2" borderId="4" xfId="0" applyFont="1" applyFill="1" applyBorder="1" applyAlignment="1">
      <alignment vertical="top"/>
    </xf>
    <xf numFmtId="0" fontId="4" fillId="0" borderId="0" xfId="0" applyFont="1" applyAlignment="1">
      <alignment vertical="top"/>
    </xf>
    <xf numFmtId="0" fontId="7" fillId="2" borderId="1" xfId="0" applyFont="1" applyFill="1" applyBorder="1"/>
    <xf numFmtId="0" fontId="6" fillId="0" borderId="0" xfId="0" applyFont="1" applyAlignment="1">
      <alignment wrapText="1"/>
    </xf>
    <xf numFmtId="17" fontId="4" fillId="0" borderId="0" xfId="0" applyNumberFormat="1" applyFont="1" applyAlignment="1">
      <alignment horizontal="right" vertical="center"/>
    </xf>
    <xf numFmtId="0" fontId="4" fillId="0" borderId="19" xfId="0" applyFont="1" applyBorder="1" applyAlignment="1">
      <alignment horizontal="right" vertical="center"/>
    </xf>
    <xf numFmtId="0" fontId="4" fillId="0" borderId="20" xfId="0" applyFont="1" applyBorder="1" applyAlignment="1">
      <alignment horizontal="left" vertical="center" wrapText="1"/>
    </xf>
    <xf numFmtId="3" fontId="4" fillId="0" borderId="0" xfId="0" applyNumberFormat="1" applyFont="1" applyAlignment="1">
      <alignment horizontal="right" vertical="center"/>
    </xf>
    <xf numFmtId="3" fontId="4" fillId="0" borderId="19" xfId="0" applyNumberFormat="1" applyFont="1" applyBorder="1" applyAlignment="1">
      <alignment horizontal="right" vertical="center"/>
    </xf>
    <xf numFmtId="0" fontId="4" fillId="0" borderId="0" xfId="0" applyFont="1" applyAlignment="1">
      <alignment horizontal="left" vertical="center" wrapText="1"/>
    </xf>
    <xf numFmtId="3" fontId="2" fillId="2" borderId="18" xfId="0" applyNumberFormat="1" applyFont="1" applyFill="1" applyBorder="1" applyAlignment="1">
      <alignment horizontal="right" vertical="center"/>
    </xf>
    <xf numFmtId="3" fontId="5" fillId="0" borderId="24" xfId="0" applyNumberFormat="1" applyFont="1" applyBorder="1" applyAlignment="1">
      <alignment horizontal="right" vertical="center"/>
    </xf>
    <xf numFmtId="3" fontId="3" fillId="0" borderId="25" xfId="0" applyNumberFormat="1" applyFont="1" applyBorder="1" applyAlignment="1">
      <alignment horizontal="right" vertical="center"/>
    </xf>
    <xf numFmtId="3" fontId="3" fillId="0" borderId="2" xfId="0" applyNumberFormat="1" applyFont="1" applyBorder="1" applyAlignment="1">
      <alignment horizontal="right" vertical="center"/>
    </xf>
    <xf numFmtId="0" fontId="2" fillId="2" borderId="7" xfId="0" applyFont="1" applyFill="1" applyBorder="1" applyAlignment="1">
      <alignment vertical="top" wrapText="1"/>
    </xf>
    <xf numFmtId="0" fontId="7" fillId="2" borderId="12" xfId="0" applyFont="1" applyFill="1" applyBorder="1" applyAlignment="1">
      <alignment wrapText="1"/>
    </xf>
    <xf numFmtId="0" fontId="2" fillId="2" borderId="9" xfId="0" applyFont="1" applyFill="1" applyBorder="1" applyAlignment="1">
      <alignment horizontal="left" vertical="center" wrapText="1"/>
    </xf>
    <xf numFmtId="0" fontId="4" fillId="0" borderId="0" xfId="0" applyFont="1" applyAlignment="1">
      <alignment vertical="top" wrapText="1"/>
    </xf>
    <xf numFmtId="16" fontId="6" fillId="0" borderId="0" xfId="0" applyNumberFormat="1" applyFont="1"/>
    <xf numFmtId="0" fontId="7" fillId="2" borderId="9" xfId="0" applyFont="1" applyFill="1" applyBorder="1"/>
    <xf numFmtId="0" fontId="12" fillId="0" borderId="0" xfId="0" applyFont="1"/>
    <xf numFmtId="0" fontId="7" fillId="2" borderId="12" xfId="0" applyFont="1" applyFill="1" applyBorder="1"/>
    <xf numFmtId="0" fontId="2" fillId="2" borderId="12" xfId="0" applyFont="1" applyFill="1" applyBorder="1" applyAlignment="1">
      <alignment vertical="top"/>
    </xf>
    <xf numFmtId="16" fontId="7" fillId="2" borderId="13" xfId="0" applyNumberFormat="1" applyFont="1" applyFill="1" applyBorder="1"/>
    <xf numFmtId="3" fontId="7" fillId="2" borderId="17" xfId="0" applyNumberFormat="1" applyFont="1" applyFill="1" applyBorder="1" applyAlignment="1">
      <alignment horizontal="right" vertical="center"/>
    </xf>
    <xf numFmtId="0" fontId="2" fillId="2" borderId="12" xfId="0" applyFont="1" applyFill="1" applyBorder="1" applyAlignment="1">
      <alignment horizontal="left" vertical="center" wrapText="1"/>
    </xf>
    <xf numFmtId="17" fontId="2" fillId="2" borderId="13" xfId="0" applyNumberFormat="1" applyFont="1" applyFill="1" applyBorder="1" applyAlignment="1">
      <alignment horizontal="right" vertical="center"/>
    </xf>
    <xf numFmtId="0" fontId="7" fillId="2" borderId="7" xfId="0" applyFont="1" applyFill="1" applyBorder="1"/>
    <xf numFmtId="0" fontId="7" fillId="2" borderId="9" xfId="0" applyFont="1" applyFill="1" applyBorder="1" applyAlignment="1">
      <alignment wrapText="1"/>
    </xf>
    <xf numFmtId="0" fontId="5" fillId="0" borderId="0" xfId="0" applyFont="1" applyAlignment="1">
      <alignment wrapText="1"/>
    </xf>
    <xf numFmtId="16" fontId="7" fillId="2" borderId="1" xfId="0" applyNumberFormat="1" applyFont="1" applyFill="1" applyBorder="1"/>
    <xf numFmtId="0" fontId="7" fillId="0" borderId="0" xfId="0" applyFont="1" applyAlignment="1">
      <alignment wrapText="1"/>
    </xf>
    <xf numFmtId="0" fontId="2" fillId="0" borderId="0" xfId="0" applyFont="1"/>
    <xf numFmtId="0" fontId="5" fillId="0" borderId="7" xfId="0" applyFont="1" applyBorder="1" applyAlignment="1">
      <alignment wrapText="1"/>
    </xf>
    <xf numFmtId="0" fontId="7" fillId="2" borderId="7" xfId="0" applyFont="1" applyFill="1" applyBorder="1" applyAlignment="1">
      <alignment wrapText="1"/>
    </xf>
    <xf numFmtId="0" fontId="4" fillId="0" borderId="0" xfId="0" applyFont="1"/>
    <xf numFmtId="0" fontId="5" fillId="0" borderId="16" xfId="0" applyFont="1" applyBorder="1" applyAlignment="1">
      <alignment wrapText="1"/>
    </xf>
    <xf numFmtId="0" fontId="2" fillId="7" borderId="12" xfId="0" applyFont="1" applyFill="1" applyBorder="1" applyAlignment="1">
      <alignment vertical="top" wrapText="1"/>
    </xf>
    <xf numFmtId="0" fontId="3" fillId="0" borderId="7" xfId="1" applyFont="1" applyBorder="1"/>
    <xf numFmtId="0" fontId="2" fillId="7" borderId="9" xfId="0" applyFont="1" applyFill="1" applyBorder="1" applyAlignment="1">
      <alignment vertical="top" wrapText="1"/>
    </xf>
    <xf numFmtId="0" fontId="4" fillId="7" borderId="12" xfId="0" applyFont="1" applyFill="1" applyBorder="1" applyAlignment="1">
      <alignment vertical="top"/>
    </xf>
    <xf numFmtId="0" fontId="5" fillId="0" borderId="4" xfId="0" applyFont="1" applyBorder="1"/>
    <xf numFmtId="3" fontId="5" fillId="0" borderId="6" xfId="0" applyNumberFormat="1" applyFont="1" applyBorder="1" applyAlignment="1">
      <alignment horizontal="right" vertical="center"/>
    </xf>
    <xf numFmtId="3" fontId="5" fillId="0" borderId="8" xfId="0" applyNumberFormat="1" applyFont="1" applyBorder="1" applyAlignment="1">
      <alignment horizontal="right" vertical="center"/>
    </xf>
    <xf numFmtId="0" fontId="3" fillId="0" borderId="0" xfId="0" applyFont="1" applyAlignment="1">
      <alignment vertical="top"/>
    </xf>
    <xf numFmtId="17" fontId="2" fillId="7" borderId="13" xfId="0" applyNumberFormat="1" applyFont="1" applyFill="1" applyBorder="1" applyAlignment="1">
      <alignment vertical="top"/>
    </xf>
    <xf numFmtId="0" fontId="2" fillId="7" borderId="14" xfId="0" applyFont="1" applyFill="1" applyBorder="1" applyAlignment="1">
      <alignment vertical="top"/>
    </xf>
    <xf numFmtId="0" fontId="2" fillId="7" borderId="12" xfId="0" applyFont="1" applyFill="1" applyBorder="1" applyAlignment="1">
      <alignment vertical="top"/>
    </xf>
    <xf numFmtId="0" fontId="7" fillId="7" borderId="12" xfId="0" applyFont="1" applyFill="1" applyBorder="1"/>
    <xf numFmtId="16" fontId="7" fillId="7" borderId="13" xfId="0" applyNumberFormat="1" applyFont="1" applyFill="1" applyBorder="1"/>
    <xf numFmtId="0" fontId="7" fillId="7" borderId="14" xfId="0" applyFont="1" applyFill="1" applyBorder="1"/>
    <xf numFmtId="0" fontId="7" fillId="7" borderId="12" xfId="0" applyFont="1" applyFill="1" applyBorder="1" applyAlignment="1">
      <alignment wrapText="1"/>
    </xf>
    <xf numFmtId="0" fontId="7" fillId="7" borderId="9" xfId="0" applyFont="1" applyFill="1" applyBorder="1" applyAlignment="1">
      <alignment wrapText="1"/>
    </xf>
    <xf numFmtId="0" fontId="6" fillId="7" borderId="12" xfId="0" applyFont="1" applyFill="1" applyBorder="1" applyAlignment="1">
      <alignment wrapText="1"/>
    </xf>
    <xf numFmtId="0" fontId="0" fillId="0" borderId="0" xfId="0" applyAlignment="1">
      <alignment wrapText="1"/>
    </xf>
    <xf numFmtId="0" fontId="3" fillId="0" borderId="4" xfId="0" applyFont="1" applyBorder="1" applyAlignment="1">
      <alignment vertical="top" wrapText="1"/>
    </xf>
    <xf numFmtId="0" fontId="3" fillId="0" borderId="7" xfId="0" applyFont="1" applyBorder="1" applyAlignment="1">
      <alignment vertical="top" wrapText="1"/>
    </xf>
    <xf numFmtId="0" fontId="4" fillId="7" borderId="12" xfId="0" applyFont="1" applyFill="1" applyBorder="1" applyAlignment="1">
      <alignment vertical="top" wrapText="1"/>
    </xf>
    <xf numFmtId="0" fontId="2" fillId="7" borderId="12" xfId="0" applyFont="1" applyFill="1" applyBorder="1" applyAlignment="1">
      <alignment wrapText="1"/>
    </xf>
    <xf numFmtId="0" fontId="3" fillId="0" borderId="7" xfId="0" applyFont="1" applyBorder="1"/>
    <xf numFmtId="3" fontId="5" fillId="0" borderId="5" xfId="0" applyNumberFormat="1" applyFont="1" applyBorder="1" applyAlignment="1">
      <alignment horizontal="right"/>
    </xf>
    <xf numFmtId="3" fontId="3" fillId="0" borderId="6" xfId="0" applyNumberFormat="1" applyFont="1" applyBorder="1" applyAlignment="1">
      <alignment horizontal="right" vertical="top"/>
    </xf>
    <xf numFmtId="3" fontId="5" fillId="0" borderId="1" xfId="0" applyNumberFormat="1" applyFont="1" applyBorder="1" applyAlignment="1">
      <alignment horizontal="right"/>
    </xf>
    <xf numFmtId="3" fontId="3" fillId="0" borderId="8" xfId="0" applyNumberFormat="1" applyFont="1" applyBorder="1" applyAlignment="1">
      <alignment horizontal="right" vertical="top"/>
    </xf>
    <xf numFmtId="3" fontId="3" fillId="0" borderId="1" xfId="1" applyNumberFormat="1" applyFont="1" applyBorder="1" applyAlignment="1">
      <alignment horizontal="right"/>
    </xf>
    <xf numFmtId="3" fontId="5" fillId="0" borderId="1" xfId="1" applyNumberFormat="1" applyFont="1" applyBorder="1" applyAlignment="1">
      <alignment horizontal="right"/>
    </xf>
    <xf numFmtId="0" fontId="2" fillId="7" borderId="12" xfId="0" applyFont="1" applyFill="1" applyBorder="1" applyAlignment="1">
      <alignment horizontal="left" vertical="top" wrapText="1"/>
    </xf>
    <xf numFmtId="0" fontId="2" fillId="7" borderId="9" xfId="0" applyFont="1" applyFill="1" applyBorder="1" applyAlignment="1">
      <alignment horizontal="left" vertical="center" wrapText="1"/>
    </xf>
    <xf numFmtId="0" fontId="2" fillId="7" borderId="9" xfId="0" applyFont="1" applyFill="1" applyBorder="1" applyAlignment="1">
      <alignment horizontal="left" vertical="top" wrapText="1"/>
    </xf>
    <xf numFmtId="0" fontId="7" fillId="7" borderId="12" xfId="0" applyFont="1" applyFill="1" applyBorder="1" applyAlignment="1">
      <alignment horizontal="left"/>
    </xf>
    <xf numFmtId="0" fontId="4" fillId="7" borderId="12" xfId="0" applyFont="1" applyFill="1" applyBorder="1" applyAlignment="1">
      <alignment horizontal="left" vertical="top"/>
    </xf>
    <xf numFmtId="0" fontId="2" fillId="9" borderId="12" xfId="0" applyFont="1" applyFill="1" applyBorder="1" applyAlignment="1">
      <alignment vertical="top" wrapText="1"/>
    </xf>
    <xf numFmtId="17" fontId="2" fillId="9" borderId="13" xfId="0" applyNumberFormat="1" applyFont="1" applyFill="1" applyBorder="1" applyAlignment="1">
      <alignment vertical="top"/>
    </xf>
    <xf numFmtId="0" fontId="2" fillId="9" borderId="14" xfId="0" applyFont="1" applyFill="1" applyBorder="1" applyAlignment="1">
      <alignment vertical="top"/>
    </xf>
    <xf numFmtId="0" fontId="2" fillId="3" borderId="12" xfId="0" applyFont="1" applyFill="1" applyBorder="1" applyAlignment="1">
      <alignment vertical="top" wrapText="1"/>
    </xf>
    <xf numFmtId="17" fontId="2" fillId="3" borderId="13" xfId="0" applyNumberFormat="1" applyFont="1" applyFill="1" applyBorder="1" applyAlignment="1">
      <alignment vertical="top"/>
    </xf>
    <xf numFmtId="0" fontId="2" fillId="3" borderId="14" xfId="0" applyFont="1" applyFill="1" applyBorder="1" applyAlignment="1">
      <alignment vertical="top"/>
    </xf>
    <xf numFmtId="0" fontId="2" fillId="3" borderId="9" xfId="0" applyFont="1" applyFill="1" applyBorder="1" applyAlignment="1">
      <alignment vertical="top" wrapText="1"/>
    </xf>
    <xf numFmtId="0" fontId="4" fillId="3" borderId="12" xfId="0" applyFont="1" applyFill="1" applyBorder="1" applyAlignment="1">
      <alignment vertical="top"/>
    </xf>
    <xf numFmtId="3" fontId="5" fillId="0" borderId="0" xfId="0" applyNumberFormat="1" applyFont="1" applyAlignment="1">
      <alignment horizontal="left" vertical="center"/>
    </xf>
    <xf numFmtId="3" fontId="3" fillId="0" borderId="0" xfId="0" applyNumberFormat="1" applyFont="1" applyAlignment="1">
      <alignment horizontal="left" vertical="center"/>
    </xf>
    <xf numFmtId="0" fontId="2" fillId="0" borderId="0" xfId="0" applyFont="1" applyAlignment="1">
      <alignment horizontal="left" vertical="center" wrapText="1"/>
    </xf>
    <xf numFmtId="17" fontId="2" fillId="0" borderId="0" xfId="0" applyNumberFormat="1"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7" xfId="0" applyFont="1" applyBorder="1" applyAlignment="1">
      <alignment horizontal="left" vertical="center"/>
    </xf>
    <xf numFmtId="0" fontId="1" fillId="0" borderId="4" xfId="0" applyFont="1" applyBorder="1" applyAlignment="1">
      <alignment horizontal="left" vertical="center"/>
    </xf>
    <xf numFmtId="0" fontId="4" fillId="9" borderId="12" xfId="0" applyFont="1" applyFill="1" applyBorder="1" applyAlignment="1">
      <alignment vertical="top"/>
    </xf>
    <xf numFmtId="0" fontId="2" fillId="9" borderId="12" xfId="0" applyFont="1" applyFill="1" applyBorder="1" applyAlignment="1">
      <alignment horizontal="left" vertical="center"/>
    </xf>
    <xf numFmtId="0" fontId="3" fillId="0" borderId="4" xfId="0" applyFont="1" applyBorder="1" applyAlignment="1">
      <alignment horizontal="left" vertical="center"/>
    </xf>
    <xf numFmtId="0" fontId="2" fillId="9" borderId="9"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2" fillId="9" borderId="9" xfId="0" applyFont="1" applyFill="1" applyBorder="1" applyAlignment="1">
      <alignment vertical="top" wrapText="1"/>
    </xf>
    <xf numFmtId="0" fontId="2" fillId="9" borderId="14" xfId="0" applyFont="1" applyFill="1" applyBorder="1" applyAlignment="1">
      <alignment vertical="top" wrapText="1"/>
    </xf>
    <xf numFmtId="3" fontId="5" fillId="5" borderId="2" xfId="0" applyNumberFormat="1" applyFont="1" applyFill="1" applyBorder="1" applyAlignment="1">
      <alignment horizontal="right" vertical="center"/>
    </xf>
    <xf numFmtId="0" fontId="2" fillId="9" borderId="22" xfId="0" applyFont="1" applyFill="1" applyBorder="1" applyAlignment="1">
      <alignment vertical="top" wrapText="1"/>
    </xf>
    <xf numFmtId="0" fontId="5" fillId="0" borderId="21" xfId="0" applyFont="1" applyBorder="1"/>
    <xf numFmtId="3" fontId="5" fillId="0" borderId="15" xfId="0" applyNumberFormat="1" applyFont="1" applyBorder="1" applyAlignment="1">
      <alignment horizontal="right" vertical="center"/>
    </xf>
    <xf numFmtId="0" fontId="3" fillId="0" borderId="7" xfId="0" applyFont="1" applyBorder="1" applyAlignment="1">
      <alignment wrapText="1"/>
    </xf>
    <xf numFmtId="0" fontId="2" fillId="6" borderId="4" xfId="0" applyFont="1" applyFill="1" applyBorder="1" applyAlignment="1">
      <alignment horizontal="left" vertical="center" wrapText="1"/>
    </xf>
    <xf numFmtId="0" fontId="2" fillId="6" borderId="6" xfId="0" applyFont="1" applyFill="1" applyBorder="1" applyAlignment="1">
      <alignment horizontal="left" vertical="center" wrapText="1"/>
    </xf>
    <xf numFmtId="17" fontId="2" fillId="6" borderId="5" xfId="0" applyNumberFormat="1" applyFont="1" applyFill="1" applyBorder="1" applyAlignment="1">
      <alignment horizontal="left" vertical="center" wrapText="1"/>
    </xf>
    <xf numFmtId="0" fontId="7" fillId="6" borderId="9" xfId="0" applyFont="1" applyFill="1" applyBorder="1" applyAlignment="1">
      <alignment horizontal="left" vertical="center"/>
    </xf>
    <xf numFmtId="0" fontId="4" fillId="9" borderId="12" xfId="0" applyFont="1" applyFill="1" applyBorder="1" applyAlignment="1">
      <alignment vertical="top" wrapText="1"/>
    </xf>
    <xf numFmtId="0" fontId="2" fillId="9" borderId="12" xfId="0" applyFont="1" applyFill="1" applyBorder="1" applyAlignment="1">
      <alignment horizontal="left" vertical="center" wrapText="1"/>
    </xf>
    <xf numFmtId="17" fontId="2" fillId="9" borderId="13" xfId="0" applyNumberFormat="1" applyFont="1" applyFill="1" applyBorder="1" applyAlignment="1">
      <alignment horizontal="left" vertical="center"/>
    </xf>
    <xf numFmtId="0" fontId="2" fillId="9" borderId="14" xfId="0" applyFont="1" applyFill="1" applyBorder="1" applyAlignment="1">
      <alignment horizontal="left" vertical="center"/>
    </xf>
    <xf numFmtId="3" fontId="7" fillId="2" borderId="18" xfId="0" applyNumberFormat="1" applyFont="1" applyFill="1" applyBorder="1" applyAlignment="1">
      <alignment horizontal="right" vertical="center"/>
    </xf>
    <xf numFmtId="3" fontId="5" fillId="0" borderId="2" xfId="0" applyNumberFormat="1" applyFont="1" applyBorder="1" applyAlignment="1">
      <alignment horizontal="right"/>
    </xf>
    <xf numFmtId="3" fontId="7" fillId="2" borderId="17" xfId="0" applyNumberFormat="1" applyFont="1" applyFill="1" applyBorder="1" applyAlignment="1">
      <alignment horizontal="right"/>
    </xf>
    <xf numFmtId="3" fontId="6" fillId="0" borderId="0" xfId="0" applyNumberFormat="1" applyFont="1" applyAlignment="1">
      <alignment horizontal="right"/>
    </xf>
    <xf numFmtId="3" fontId="5" fillId="0" borderId="0" xfId="0" applyNumberFormat="1" applyFont="1" applyAlignment="1">
      <alignment horizontal="right"/>
    </xf>
    <xf numFmtId="3" fontId="7" fillId="2" borderId="18" xfId="0" applyNumberFormat="1" applyFont="1" applyFill="1" applyBorder="1" applyAlignment="1">
      <alignment horizontal="right"/>
    </xf>
    <xf numFmtId="3"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8" xfId="0" applyNumberFormat="1" applyFont="1" applyFill="1" applyBorder="1" applyAlignment="1">
      <alignment horizontal="right"/>
    </xf>
    <xf numFmtId="3" fontId="6" fillId="2" borderId="10" xfId="0" applyNumberFormat="1" applyFont="1" applyFill="1" applyBorder="1" applyAlignment="1">
      <alignment horizontal="right"/>
    </xf>
    <xf numFmtId="3" fontId="2" fillId="0" borderId="0" xfId="0" applyNumberFormat="1" applyFont="1" applyAlignment="1">
      <alignment horizontal="right" vertical="top"/>
    </xf>
    <xf numFmtId="3" fontId="3" fillId="0" borderId="19" xfId="0" applyNumberFormat="1" applyFont="1" applyBorder="1" applyAlignment="1">
      <alignment horizontal="right" vertical="top"/>
    </xf>
    <xf numFmtId="3" fontId="3" fillId="0" borderId="15" xfId="0" applyNumberFormat="1" applyFont="1" applyBorder="1" applyAlignment="1">
      <alignment horizontal="right" vertical="top"/>
    </xf>
    <xf numFmtId="3" fontId="3" fillId="0" borderId="0" xfId="0" applyNumberFormat="1" applyFont="1" applyAlignment="1">
      <alignment horizontal="right" vertical="top"/>
    </xf>
    <xf numFmtId="3" fontId="6" fillId="2" borderId="11" xfId="0" applyNumberFormat="1" applyFont="1" applyFill="1" applyBorder="1" applyAlignment="1">
      <alignment horizontal="right"/>
    </xf>
    <xf numFmtId="3" fontId="3" fillId="0" borderId="6" xfId="0" applyNumberFormat="1" applyFont="1" applyBorder="1"/>
    <xf numFmtId="3" fontId="3" fillId="0" borderId="8" xfId="0" applyNumberFormat="1" applyFont="1" applyBorder="1"/>
    <xf numFmtId="3" fontId="3" fillId="0" borderId="1" xfId="0" applyNumberFormat="1" applyFont="1" applyBorder="1"/>
    <xf numFmtId="3" fontId="3" fillId="0" borderId="2" xfId="0" applyNumberFormat="1" applyFont="1" applyBorder="1"/>
    <xf numFmtId="3" fontId="3" fillId="0" borderId="15" xfId="0" applyNumberFormat="1" applyFont="1" applyBorder="1"/>
    <xf numFmtId="3" fontId="3" fillId="0" borderId="5" xfId="0" applyNumberFormat="1" applyFont="1" applyBorder="1"/>
    <xf numFmtId="3"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1" xfId="0" applyNumberFormat="1" applyFont="1" applyBorder="1" applyAlignment="1">
      <alignment horizontal="right"/>
    </xf>
    <xf numFmtId="3" fontId="3" fillId="0" borderId="2" xfId="0" applyNumberFormat="1" applyFont="1" applyBorder="1" applyAlignment="1">
      <alignment horizontal="right"/>
    </xf>
    <xf numFmtId="3" fontId="3" fillId="0" borderId="15" xfId="0" applyNumberFormat="1" applyFont="1" applyBorder="1" applyAlignment="1">
      <alignment horizontal="right"/>
    </xf>
    <xf numFmtId="3" fontId="2" fillId="2" borderId="17" xfId="0" applyNumberFormat="1" applyFont="1" applyFill="1" applyBorder="1" applyAlignment="1">
      <alignment horizontal="right"/>
    </xf>
    <xf numFmtId="3" fontId="2" fillId="0" borderId="0" xfId="0" applyNumberFormat="1" applyFont="1" applyAlignment="1">
      <alignment horizontal="right"/>
    </xf>
    <xf numFmtId="3" fontId="3" fillId="0" borderId="0" xfId="0" applyNumberFormat="1" applyFont="1" applyAlignment="1">
      <alignment horizontal="right"/>
    </xf>
    <xf numFmtId="3" fontId="3" fillId="0" borderId="5" xfId="0" applyNumberFormat="1" applyFont="1" applyBorder="1" applyAlignment="1">
      <alignment horizontal="right"/>
    </xf>
    <xf numFmtId="3" fontId="2" fillId="2" borderId="3" xfId="0" applyNumberFormat="1" applyFont="1" applyFill="1" applyBorder="1" applyAlignment="1">
      <alignment horizontal="right"/>
    </xf>
    <xf numFmtId="3" fontId="2" fillId="2" borderId="23" xfId="0" applyNumberFormat="1" applyFont="1" applyFill="1" applyBorder="1" applyAlignment="1">
      <alignment horizontal="right"/>
    </xf>
    <xf numFmtId="3" fontId="2" fillId="2" borderId="18" xfId="0" applyNumberFormat="1" applyFont="1" applyFill="1" applyBorder="1" applyAlignment="1">
      <alignment horizontal="right"/>
    </xf>
    <xf numFmtId="3" fontId="7" fillId="2" borderId="13" xfId="0" applyNumberFormat="1" applyFont="1" applyFill="1" applyBorder="1" applyAlignment="1">
      <alignment horizontal="right"/>
    </xf>
    <xf numFmtId="3" fontId="7" fillId="2" borderId="14" xfId="0" applyNumberFormat="1" applyFont="1" applyFill="1" applyBorder="1" applyAlignment="1">
      <alignment horizontal="right"/>
    </xf>
    <xf numFmtId="3" fontId="6" fillId="2" borderId="6" xfId="0" applyNumberFormat="1" applyFont="1" applyFill="1" applyBorder="1" applyAlignment="1">
      <alignment horizontal="right"/>
    </xf>
    <xf numFmtId="3" fontId="4" fillId="2" borderId="17" xfId="0" applyNumberFormat="1" applyFont="1" applyFill="1" applyBorder="1" applyAlignment="1">
      <alignment horizontal="right"/>
    </xf>
    <xf numFmtId="3" fontId="4" fillId="2" borderId="18" xfId="0" applyNumberFormat="1" applyFont="1" applyFill="1" applyBorder="1" applyAlignment="1">
      <alignment horizontal="right"/>
    </xf>
    <xf numFmtId="3" fontId="4" fillId="0" borderId="0" xfId="0" applyNumberFormat="1" applyFont="1" applyAlignment="1">
      <alignment horizontal="right"/>
    </xf>
    <xf numFmtId="3" fontId="2" fillId="2" borderId="13" xfId="0" applyNumberFormat="1" applyFont="1" applyFill="1" applyBorder="1" applyAlignment="1">
      <alignment horizontal="right"/>
    </xf>
    <xf numFmtId="3" fontId="2" fillId="2" borderId="14" xfId="0" applyNumberFormat="1" applyFont="1" applyFill="1" applyBorder="1" applyAlignment="1">
      <alignment horizontal="right"/>
    </xf>
    <xf numFmtId="3" fontId="5" fillId="0" borderId="6" xfId="0" applyNumberFormat="1" applyFont="1" applyBorder="1" applyAlignment="1">
      <alignment horizontal="right"/>
    </xf>
    <xf numFmtId="3" fontId="5" fillId="0" borderId="8" xfId="0" applyNumberFormat="1" applyFont="1" applyBorder="1" applyAlignment="1">
      <alignment horizontal="right"/>
    </xf>
    <xf numFmtId="3" fontId="5" fillId="0" borderId="15" xfId="0" applyNumberFormat="1" applyFont="1" applyBorder="1" applyAlignment="1">
      <alignment horizontal="right"/>
    </xf>
    <xf numFmtId="3" fontId="7" fillId="2" borderId="3" xfId="0" applyNumberFormat="1" applyFont="1" applyFill="1" applyBorder="1" applyAlignment="1">
      <alignment horizontal="right"/>
    </xf>
    <xf numFmtId="3" fontId="6"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7" fillId="2" borderId="27" xfId="0" applyNumberFormat="1" applyFont="1" applyFill="1" applyBorder="1" applyAlignment="1">
      <alignment horizontal="right"/>
    </xf>
    <xf numFmtId="3" fontId="7" fillId="2" borderId="26" xfId="0" applyNumberFormat="1" applyFont="1" applyFill="1" applyBorder="1" applyAlignment="1">
      <alignment horizontal="right"/>
    </xf>
    <xf numFmtId="3" fontId="7" fillId="0" borderId="0" xfId="0" applyNumberFormat="1" applyFont="1" applyAlignment="1">
      <alignment horizontal="right"/>
    </xf>
    <xf numFmtId="3" fontId="5" fillId="0" borderId="29" xfId="0" applyNumberFormat="1" applyFont="1" applyBorder="1" applyAlignment="1">
      <alignment horizontal="right"/>
    </xf>
    <xf numFmtId="3" fontId="5" fillId="0" borderId="30" xfId="0" applyNumberFormat="1" applyFont="1" applyBorder="1" applyAlignment="1">
      <alignment horizontal="right"/>
    </xf>
    <xf numFmtId="3" fontId="5" fillId="0" borderId="31" xfId="0" applyNumberFormat="1" applyFont="1" applyBorder="1" applyAlignment="1">
      <alignment horizontal="right"/>
    </xf>
    <xf numFmtId="3" fontId="5" fillId="0" borderId="5" xfId="0" applyNumberFormat="1" applyFont="1" applyBorder="1" applyAlignment="1">
      <alignment horizontal="right" wrapText="1"/>
    </xf>
    <xf numFmtId="3" fontId="5" fillId="0" borderId="2" xfId="0" applyNumberFormat="1" applyFont="1" applyBorder="1" applyAlignment="1">
      <alignment horizontal="right" wrapText="1"/>
    </xf>
    <xf numFmtId="3" fontId="0" fillId="0" borderId="5" xfId="0" applyNumberFormat="1" applyBorder="1" applyAlignment="1">
      <alignment horizontal="right" vertical="center" wrapText="1"/>
    </xf>
    <xf numFmtId="3" fontId="0" fillId="0" borderId="1" xfId="0" applyNumberFormat="1" applyBorder="1" applyAlignment="1">
      <alignment horizontal="right" vertical="center" wrapText="1"/>
    </xf>
    <xf numFmtId="3" fontId="0" fillId="0" borderId="2" xfId="0" applyNumberFormat="1" applyBorder="1" applyAlignment="1">
      <alignment horizontal="right" vertical="center" wrapText="1"/>
    </xf>
    <xf numFmtId="3" fontId="0" fillId="0" borderId="5" xfId="0" applyNumberFormat="1" applyBorder="1" applyAlignment="1">
      <alignment horizontal="right" wrapText="1"/>
    </xf>
    <xf numFmtId="3" fontId="0" fillId="0" borderId="1" xfId="0" applyNumberFormat="1" applyBorder="1" applyAlignment="1">
      <alignment horizontal="right" wrapText="1"/>
    </xf>
    <xf numFmtId="3" fontId="0" fillId="0" borderId="2" xfId="0" applyNumberFormat="1" applyBorder="1" applyAlignment="1">
      <alignment horizontal="right" wrapText="1"/>
    </xf>
    <xf numFmtId="3" fontId="5" fillId="2" borderId="23" xfId="0" applyNumberFormat="1" applyFont="1" applyFill="1" applyBorder="1" applyAlignment="1">
      <alignment horizontal="right"/>
    </xf>
    <xf numFmtId="3" fontId="5" fillId="4" borderId="1" xfId="0" applyNumberFormat="1" applyFont="1" applyFill="1" applyBorder="1" applyAlignment="1">
      <alignment horizontal="right"/>
    </xf>
    <xf numFmtId="3" fontId="2" fillId="7" borderId="17" xfId="0" applyNumberFormat="1" applyFont="1" applyFill="1" applyBorder="1" applyAlignment="1">
      <alignment horizontal="right"/>
    </xf>
    <xf numFmtId="3" fontId="2" fillId="7" borderId="18" xfId="0" applyNumberFormat="1" applyFont="1" applyFill="1" applyBorder="1" applyAlignment="1">
      <alignment horizontal="right"/>
    </xf>
    <xf numFmtId="3" fontId="11" fillId="0" borderId="0" xfId="0" applyNumberFormat="1" applyFont="1" applyAlignment="1">
      <alignment horizontal="right"/>
    </xf>
    <xf numFmtId="3" fontId="10" fillId="0" borderId="0" xfId="0" applyNumberFormat="1" applyFont="1" applyAlignment="1">
      <alignment horizontal="right"/>
    </xf>
    <xf numFmtId="3" fontId="3" fillId="0" borderId="5" xfId="1" applyNumberFormat="1" applyFont="1" applyBorder="1" applyAlignment="1">
      <alignment horizontal="right"/>
    </xf>
    <xf numFmtId="3" fontId="3" fillId="0" borderId="2" xfId="1" applyNumberFormat="1" applyFont="1" applyBorder="1" applyAlignment="1">
      <alignment horizontal="right"/>
    </xf>
    <xf numFmtId="3" fontId="4" fillId="7" borderId="13" xfId="0" applyNumberFormat="1" applyFont="1" applyFill="1" applyBorder="1" applyAlignment="1">
      <alignment horizontal="right"/>
    </xf>
    <xf numFmtId="3" fontId="4" fillId="7" borderId="14" xfId="0" applyNumberFormat="1" applyFont="1" applyFill="1" applyBorder="1" applyAlignment="1">
      <alignment horizontal="right"/>
    </xf>
    <xf numFmtId="3" fontId="2" fillId="0" borderId="0" xfId="0" applyNumberFormat="1" applyFont="1"/>
    <xf numFmtId="3" fontId="7" fillId="7" borderId="13" xfId="0" applyNumberFormat="1" applyFont="1" applyFill="1" applyBorder="1" applyAlignment="1">
      <alignment horizontal="right"/>
    </xf>
    <xf numFmtId="3" fontId="7" fillId="7" borderId="14" xfId="0" applyNumberFormat="1" applyFont="1" applyFill="1" applyBorder="1" applyAlignment="1">
      <alignment horizontal="right"/>
    </xf>
    <xf numFmtId="3" fontId="0" fillId="0" borderId="0" xfId="0" applyNumberFormat="1" applyAlignment="1">
      <alignment horizontal="right"/>
    </xf>
    <xf numFmtId="3" fontId="3" fillId="4" borderId="1" xfId="0" applyNumberFormat="1" applyFont="1" applyFill="1" applyBorder="1" applyAlignment="1">
      <alignment horizontal="right"/>
    </xf>
    <xf numFmtId="3" fontId="5" fillId="4" borderId="2" xfId="0" applyNumberFormat="1" applyFont="1" applyFill="1" applyBorder="1" applyAlignment="1">
      <alignment horizontal="right"/>
    </xf>
    <xf numFmtId="3" fontId="7" fillId="7" borderId="17" xfId="0" applyNumberFormat="1" applyFont="1" applyFill="1" applyBorder="1" applyAlignment="1">
      <alignment horizontal="right"/>
    </xf>
    <xf numFmtId="3" fontId="7" fillId="7" borderId="18" xfId="0" applyNumberFormat="1" applyFont="1" applyFill="1" applyBorder="1" applyAlignment="1">
      <alignment horizontal="right"/>
    </xf>
    <xf numFmtId="3" fontId="6" fillId="7" borderId="13" xfId="0" applyNumberFormat="1" applyFont="1" applyFill="1" applyBorder="1" applyAlignment="1">
      <alignment horizontal="right"/>
    </xf>
    <xf numFmtId="3" fontId="6" fillId="7" borderId="14" xfId="0" applyNumberFormat="1" applyFont="1" applyFill="1" applyBorder="1" applyAlignment="1">
      <alignment horizontal="right"/>
    </xf>
    <xf numFmtId="3" fontId="5" fillId="0" borderId="5" xfId="1" applyNumberFormat="1" applyFont="1" applyBorder="1" applyAlignment="1">
      <alignment horizontal="right"/>
    </xf>
    <xf numFmtId="3" fontId="5" fillId="0" borderId="2" xfId="1" applyNumberFormat="1" applyFont="1" applyBorder="1" applyAlignment="1">
      <alignment horizontal="right"/>
    </xf>
    <xf numFmtId="3" fontId="3" fillId="7" borderId="18" xfId="0" applyNumberFormat="1" applyFont="1" applyFill="1" applyBorder="1" applyAlignment="1">
      <alignment horizontal="right"/>
    </xf>
    <xf numFmtId="3" fontId="2" fillId="3" borderId="17" xfId="0" applyNumberFormat="1" applyFont="1" applyFill="1" applyBorder="1" applyAlignment="1">
      <alignment horizontal="right"/>
    </xf>
    <xf numFmtId="3" fontId="2" fillId="3" borderId="18" xfId="0" applyNumberFormat="1" applyFont="1" applyFill="1" applyBorder="1" applyAlignment="1">
      <alignment horizontal="right"/>
    </xf>
    <xf numFmtId="3" fontId="7" fillId="3" borderId="17" xfId="0" applyNumberFormat="1" applyFont="1" applyFill="1" applyBorder="1" applyAlignment="1">
      <alignment horizontal="right"/>
    </xf>
    <xf numFmtId="3" fontId="4" fillId="3" borderId="13" xfId="0" applyNumberFormat="1" applyFont="1" applyFill="1" applyBorder="1" applyAlignment="1">
      <alignment horizontal="right"/>
    </xf>
    <xf numFmtId="3" fontId="4" fillId="3" borderId="14" xfId="0" applyNumberFormat="1" applyFont="1" applyFill="1" applyBorder="1" applyAlignment="1">
      <alignment horizontal="right"/>
    </xf>
    <xf numFmtId="3" fontId="2" fillId="9" borderId="17" xfId="0" applyNumberFormat="1" applyFont="1" applyFill="1" applyBorder="1"/>
    <xf numFmtId="3" fontId="2" fillId="9" borderId="18" xfId="0" applyNumberFormat="1" applyFont="1" applyFill="1" applyBorder="1"/>
    <xf numFmtId="3" fontId="4" fillId="9" borderId="13" xfId="0" applyNumberFormat="1" applyFont="1" applyFill="1" applyBorder="1"/>
    <xf numFmtId="3" fontId="4" fillId="9" borderId="14" xfId="0" applyNumberFormat="1" applyFont="1" applyFill="1" applyBorder="1"/>
    <xf numFmtId="3" fontId="2" fillId="9" borderId="17" xfId="0" applyNumberFormat="1" applyFont="1" applyFill="1" applyBorder="1" applyAlignment="1">
      <alignment horizontal="right"/>
    </xf>
    <xf numFmtId="3" fontId="2" fillId="9" borderId="18" xfId="0" applyNumberFormat="1" applyFont="1" applyFill="1" applyBorder="1" applyAlignment="1">
      <alignment horizontal="right"/>
    </xf>
    <xf numFmtId="3" fontId="7" fillId="9" borderId="17" xfId="0" applyNumberFormat="1" applyFont="1" applyFill="1" applyBorder="1" applyAlignment="1">
      <alignment horizontal="right"/>
    </xf>
    <xf numFmtId="3" fontId="4" fillId="9" borderId="13" xfId="0" applyNumberFormat="1" applyFont="1" applyFill="1" applyBorder="1" applyAlignment="1">
      <alignment horizontal="right"/>
    </xf>
    <xf numFmtId="3" fontId="4" fillId="9" borderId="14" xfId="0" applyNumberFormat="1" applyFont="1" applyFill="1" applyBorder="1" applyAlignment="1">
      <alignment horizontal="right"/>
    </xf>
    <xf numFmtId="3" fontId="2" fillId="0" borderId="6" xfId="0" applyNumberFormat="1" applyFont="1" applyBorder="1" applyAlignment="1">
      <alignment horizontal="right"/>
    </xf>
    <xf numFmtId="3" fontId="2" fillId="0" borderId="8" xfId="0" applyNumberFormat="1" applyFont="1" applyBorder="1" applyAlignment="1">
      <alignment horizontal="right"/>
    </xf>
    <xf numFmtId="3" fontId="2" fillId="0" borderId="15" xfId="0" applyNumberFormat="1" applyFont="1" applyBorder="1" applyAlignment="1">
      <alignment horizontal="right"/>
    </xf>
    <xf numFmtId="3" fontId="5" fillId="0" borderId="16" xfId="0" applyNumberFormat="1" applyFont="1" applyBorder="1" applyAlignment="1">
      <alignment horizontal="right"/>
    </xf>
    <xf numFmtId="3" fontId="3" fillId="0" borderId="28" xfId="0" applyNumberFormat="1" applyFont="1" applyBorder="1" applyAlignment="1">
      <alignment horizontal="right"/>
    </xf>
    <xf numFmtId="3" fontId="2" fillId="9" borderId="13" xfId="0" applyNumberFormat="1" applyFont="1" applyFill="1" applyBorder="1" applyAlignment="1">
      <alignment horizontal="right"/>
    </xf>
    <xf numFmtId="3" fontId="2" fillId="9" borderId="14" xfId="0" applyNumberFormat="1" applyFont="1" applyFill="1" applyBorder="1" applyAlignment="1">
      <alignment horizontal="right"/>
    </xf>
    <xf numFmtId="3" fontId="3" fillId="0" borderId="2" xfId="0" applyNumberFormat="1" applyFont="1" applyBorder="1" applyAlignment="1">
      <alignment horizontal="right" wrapText="1"/>
    </xf>
    <xf numFmtId="3" fontId="3" fillId="0" borderId="15" xfId="0" applyNumberFormat="1" applyFont="1" applyBorder="1" applyAlignment="1">
      <alignment horizontal="right" wrapText="1"/>
    </xf>
    <xf numFmtId="3" fontId="7" fillId="6" borderId="17" xfId="0" applyNumberFormat="1" applyFont="1" applyFill="1" applyBorder="1" applyAlignment="1">
      <alignment horizontal="right"/>
    </xf>
    <xf numFmtId="3" fontId="7" fillId="6" borderId="18" xfId="0" applyNumberFormat="1" applyFont="1" applyFill="1" applyBorder="1" applyAlignment="1">
      <alignment horizontal="right"/>
    </xf>
    <xf numFmtId="3" fontId="3" fillId="0" borderId="26" xfId="0" applyNumberFormat="1" applyFont="1" applyBorder="1"/>
    <xf numFmtId="3" fontId="3" fillId="0" borderId="27" xfId="0" applyNumberFormat="1" applyFont="1" applyBorder="1"/>
    <xf numFmtId="3" fontId="2" fillId="9" borderId="13" xfId="0" applyNumberFormat="1" applyFont="1" applyFill="1" applyBorder="1"/>
    <xf numFmtId="3" fontId="2" fillId="9" borderId="14" xfId="0" applyNumberFormat="1" applyFont="1" applyFill="1" applyBorder="1"/>
    <xf numFmtId="3" fontId="3" fillId="0" borderId="0" xfId="0" applyNumberFormat="1" applyFont="1"/>
    <xf numFmtId="0" fontId="3" fillId="0" borderId="0" xfId="0" applyFont="1" applyAlignment="1">
      <alignment horizontal="left" vertical="center" wrapText="1"/>
    </xf>
    <xf numFmtId="0" fontId="2" fillId="8" borderId="4" xfId="0" applyFont="1" applyFill="1" applyBorder="1" applyAlignment="1">
      <alignment horizontal="left" vertical="top" wrapText="1"/>
    </xf>
    <xf numFmtId="17" fontId="2" fillId="8" borderId="5" xfId="0" applyNumberFormat="1" applyFont="1" applyFill="1" applyBorder="1" applyAlignment="1">
      <alignment horizontal="left" vertical="top" wrapText="1"/>
    </xf>
    <xf numFmtId="0" fontId="2" fillId="8" borderId="6" xfId="0" applyFont="1" applyFill="1" applyBorder="1" applyAlignment="1">
      <alignment horizontal="left" vertical="top" wrapText="1"/>
    </xf>
    <xf numFmtId="0" fontId="3" fillId="0" borderId="7" xfId="0" applyFont="1" applyBorder="1" applyAlignment="1">
      <alignment horizontal="left" vertical="top" wrapText="1"/>
    </xf>
    <xf numFmtId="0" fontId="2" fillId="8" borderId="9" xfId="0" applyFont="1" applyFill="1" applyBorder="1" applyAlignment="1">
      <alignment horizontal="left" vertical="top" wrapText="1"/>
    </xf>
    <xf numFmtId="3" fontId="2" fillId="8" borderId="17" xfId="0" applyNumberFormat="1" applyFont="1" applyFill="1" applyBorder="1" applyAlignment="1">
      <alignment horizontal="right" wrapText="1"/>
    </xf>
    <xf numFmtId="3" fontId="2" fillId="8" borderId="18" xfId="0" applyNumberFormat="1" applyFont="1" applyFill="1" applyBorder="1" applyAlignment="1">
      <alignment horizontal="right" wrapText="1"/>
    </xf>
    <xf numFmtId="0" fontId="2" fillId="8" borderId="4" xfId="0" applyFont="1" applyFill="1" applyBorder="1" applyAlignment="1">
      <alignment horizontal="center" wrapText="1"/>
    </xf>
    <xf numFmtId="17" fontId="2" fillId="8" borderId="5" xfId="0" applyNumberFormat="1" applyFont="1" applyFill="1" applyBorder="1" applyAlignment="1">
      <alignment horizontal="left" wrapText="1"/>
    </xf>
    <xf numFmtId="0" fontId="2" fillId="8" borderId="6" xfId="0" applyFont="1" applyFill="1" applyBorder="1" applyAlignment="1">
      <alignment horizontal="left" wrapText="1"/>
    </xf>
    <xf numFmtId="0" fontId="2" fillId="8" borderId="9" xfId="0" applyFont="1" applyFill="1" applyBorder="1" applyAlignment="1">
      <alignment wrapText="1"/>
    </xf>
    <xf numFmtId="3" fontId="3" fillId="0" borderId="1" xfId="0" applyNumberFormat="1" applyFont="1" applyBorder="1" applyAlignment="1">
      <alignment horizontal="right" wrapText="1"/>
    </xf>
    <xf numFmtId="3" fontId="3" fillId="0" borderId="8" xfId="0" applyNumberFormat="1" applyFont="1" applyBorder="1" applyAlignment="1">
      <alignment horizontal="right" wrapText="1"/>
    </xf>
    <xf numFmtId="17" fontId="3" fillId="8" borderId="5" xfId="0" applyNumberFormat="1" applyFont="1" applyFill="1" applyBorder="1" applyAlignment="1">
      <alignment horizontal="left" wrapText="1"/>
    </xf>
    <xf numFmtId="0" fontId="2" fillId="6" borderId="4" xfId="0" applyFont="1" applyFill="1" applyBorder="1" applyAlignment="1">
      <alignment horizontal="left" wrapText="1"/>
    </xf>
    <xf numFmtId="0" fontId="3" fillId="0" borderId="7" xfId="0" applyFont="1" applyBorder="1" applyAlignment="1">
      <alignment horizontal="left" wrapText="1"/>
    </xf>
    <xf numFmtId="17" fontId="2" fillId="6" borderId="5" xfId="0" applyNumberFormat="1" applyFont="1" applyFill="1" applyBorder="1" applyAlignment="1">
      <alignment horizontal="left" wrapText="1"/>
    </xf>
    <xf numFmtId="0" fontId="2" fillId="6" borderId="6" xfId="0" applyFont="1" applyFill="1" applyBorder="1" applyAlignment="1">
      <alignment horizontal="left" wrapText="1"/>
    </xf>
    <xf numFmtId="3" fontId="7" fillId="9" borderId="13" xfId="0" applyNumberFormat="1" applyFont="1" applyFill="1" applyBorder="1" applyAlignment="1">
      <alignment horizontal="right"/>
    </xf>
    <xf numFmtId="3" fontId="3" fillId="0" borderId="0" xfId="1" applyNumberFormat="1" applyFont="1" applyAlignment="1">
      <alignment horizontal="right"/>
    </xf>
    <xf numFmtId="3" fontId="2" fillId="9" borderId="1" xfId="0" applyNumberFormat="1" applyFont="1" applyFill="1" applyBorder="1"/>
    <xf numFmtId="0" fontId="15" fillId="0" borderId="0" xfId="0" applyFont="1"/>
    <xf numFmtId="0" fontId="7" fillId="7" borderId="22" xfId="0" applyFont="1" applyFill="1" applyBorder="1"/>
    <xf numFmtId="3" fontId="5" fillId="0" borderId="26" xfId="0" applyNumberFormat="1" applyFont="1" applyBorder="1" applyAlignment="1">
      <alignment horizontal="right"/>
    </xf>
    <xf numFmtId="0" fontId="5" fillId="0" borderId="32" xfId="0" applyFont="1" applyBorder="1"/>
    <xf numFmtId="3" fontId="2" fillId="0" borderId="33" xfId="0" applyNumberFormat="1" applyFont="1" applyBorder="1" applyAlignment="1">
      <alignment horizontal="right"/>
    </xf>
    <xf numFmtId="3" fontId="15" fillId="7" borderId="17" xfId="0" applyNumberFormat="1" applyFont="1" applyFill="1" applyBorder="1"/>
    <xf numFmtId="3" fontId="7" fillId="0" borderId="15" xfId="0" applyNumberFormat="1" applyFont="1" applyBorder="1" applyAlignment="1">
      <alignment horizontal="right"/>
    </xf>
    <xf numFmtId="3" fontId="15" fillId="7" borderId="18" xfId="0" applyNumberFormat="1" applyFont="1" applyFill="1" applyBorder="1"/>
    <xf numFmtId="0" fontId="3" fillId="7" borderId="7" xfId="0" applyFont="1" applyFill="1" applyBorder="1" applyAlignment="1">
      <alignment vertical="top" wrapText="1"/>
    </xf>
    <xf numFmtId="3" fontId="3" fillId="7" borderId="1" xfId="0" applyNumberFormat="1" applyFont="1" applyFill="1" applyBorder="1" applyAlignment="1">
      <alignment horizontal="right"/>
    </xf>
    <xf numFmtId="0" fontId="0" fillId="7" borderId="0" xfId="0" applyFill="1"/>
    <xf numFmtId="3" fontId="5" fillId="7" borderId="1" xfId="0" applyNumberFormat="1" applyFont="1" applyFill="1" applyBorder="1" applyAlignment="1">
      <alignment horizontal="right"/>
    </xf>
    <xf numFmtId="3" fontId="3" fillId="7" borderId="8" xfId="0" applyNumberFormat="1" applyFont="1" applyFill="1" applyBorder="1" applyAlignment="1">
      <alignment horizontal="right"/>
    </xf>
    <xf numFmtId="3" fontId="15" fillId="0" borderId="0" xfId="0" applyNumberFormat="1" applyFont="1" applyAlignment="1">
      <alignment horizontal="right"/>
    </xf>
    <xf numFmtId="3" fontId="0" fillId="0" borderId="1" xfId="0" applyNumberFormat="1" applyBorder="1" applyAlignment="1">
      <alignment horizontal="right"/>
    </xf>
    <xf numFmtId="0" fontId="7" fillId="0" borderId="1" xfId="0" applyFont="1" applyBorder="1"/>
    <xf numFmtId="3" fontId="0" fillId="0" borderId="2" xfId="0" applyNumberFormat="1" applyBorder="1" applyAlignment="1">
      <alignment horizontal="right"/>
    </xf>
    <xf numFmtId="0" fontId="7" fillId="0" borderId="4" xfId="0" applyFont="1" applyBorder="1" applyAlignment="1">
      <alignment wrapText="1"/>
    </xf>
    <xf numFmtId="3" fontId="0" fillId="0" borderId="6" xfId="0" applyNumberFormat="1" applyBorder="1" applyAlignment="1">
      <alignment horizontal="right"/>
    </xf>
    <xf numFmtId="0" fontId="7" fillId="0" borderId="7" xfId="0" applyFont="1" applyBorder="1" applyAlignment="1">
      <alignment wrapText="1"/>
    </xf>
    <xf numFmtId="0" fontId="7" fillId="2" borderId="22" xfId="0" applyFont="1" applyFill="1" applyBorder="1"/>
    <xf numFmtId="3" fontId="0" fillId="0" borderId="24" xfId="0" applyNumberFormat="1" applyBorder="1" applyAlignment="1">
      <alignment horizontal="right"/>
    </xf>
    <xf numFmtId="3" fontId="3" fillId="0" borderId="16" xfId="0" applyNumberFormat="1" applyFont="1" applyBorder="1"/>
    <xf numFmtId="3" fontId="5" fillId="0" borderId="1" xfId="0" applyNumberFormat="1" applyFont="1" applyBorder="1"/>
    <xf numFmtId="3" fontId="0" fillId="0" borderId="0" xfId="0" applyNumberFormat="1"/>
    <xf numFmtId="3" fontId="0" fillId="0" borderId="1" xfId="0" applyNumberFormat="1" applyBorder="1" applyAlignment="1">
      <alignment horizontal="center" wrapText="1"/>
    </xf>
    <xf numFmtId="3" fontId="0" fillId="0" borderId="5"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0" xfId="0" applyNumberFormat="1" applyAlignment="1">
      <alignment horizontal="center" vertical="center" wrapText="1"/>
    </xf>
    <xf numFmtId="3" fontId="0" fillId="0" borderId="2" xfId="0" applyNumberFormat="1" applyBorder="1" applyAlignment="1">
      <alignment horizontal="center" vertical="center" wrapText="1"/>
    </xf>
    <xf numFmtId="3" fontId="5" fillId="0" borderId="6" xfId="0" applyNumberFormat="1" applyFont="1" applyBorder="1" applyAlignment="1">
      <alignment horizontal="center" vertical="center"/>
    </xf>
    <xf numFmtId="3" fontId="5" fillId="0" borderId="8"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7" fillId="2" borderId="17" xfId="0" applyNumberFormat="1" applyFont="1" applyFill="1" applyBorder="1" applyAlignment="1">
      <alignment horizontal="center" vertical="center"/>
    </xf>
    <xf numFmtId="3" fontId="7" fillId="2" borderId="18" xfId="0" applyNumberFormat="1" applyFont="1" applyFill="1" applyBorder="1" applyAlignment="1">
      <alignment horizontal="center" vertical="center"/>
    </xf>
    <xf numFmtId="3" fontId="0" fillId="0" borderId="5" xfId="0" applyNumberFormat="1" applyBorder="1" applyAlignment="1">
      <alignment horizontal="center" wrapText="1"/>
    </xf>
    <xf numFmtId="17" fontId="2" fillId="2" borderId="13" xfId="0" applyNumberFormat="1" applyFont="1" applyFill="1" applyBorder="1" applyAlignment="1">
      <alignment horizontal="center" vertical="center"/>
    </xf>
    <xf numFmtId="0" fontId="2" fillId="2" borderId="14" xfId="0" applyFont="1" applyFill="1" applyBorder="1" applyAlignment="1">
      <alignment horizontal="center" vertical="center"/>
    </xf>
    <xf numFmtId="17" fontId="4" fillId="0" borderId="0" xfId="0" applyNumberFormat="1"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3" fontId="0" fillId="5" borderId="1" xfId="0" applyNumberFormat="1" applyFill="1" applyBorder="1" applyAlignment="1">
      <alignment horizontal="center" vertical="center" wrapText="1"/>
    </xf>
    <xf numFmtId="3" fontId="5" fillId="0" borderId="0" xfId="0" applyNumberFormat="1" applyFont="1" applyAlignment="1">
      <alignment horizontal="center" vertical="center"/>
    </xf>
    <xf numFmtId="3" fontId="0" fillId="0" borderId="16" xfId="0" applyNumberFormat="1" applyBorder="1" applyAlignment="1">
      <alignment horizontal="center" vertical="center" wrapText="1"/>
    </xf>
    <xf numFmtId="39" fontId="0" fillId="0" borderId="1" xfId="2" applyNumberFormat="1" applyFont="1" applyFill="1" applyBorder="1" applyAlignment="1">
      <alignment horizontal="center" vertical="center" wrapText="1"/>
    </xf>
    <xf numFmtId="0" fontId="0" fillId="0" borderId="1" xfId="0" applyBorder="1" applyAlignment="1">
      <alignment horizontal="center" vertical="center"/>
    </xf>
    <xf numFmtId="3" fontId="5" fillId="0" borderId="34" xfId="0" applyNumberFormat="1" applyFont="1" applyBorder="1" applyAlignment="1">
      <alignment horizontal="center" vertical="center"/>
    </xf>
    <xf numFmtId="3" fontId="7" fillId="2" borderId="26" xfId="0" applyNumberFormat="1" applyFont="1" applyFill="1" applyBorder="1" applyAlignment="1">
      <alignment horizontal="center" vertical="center"/>
    </xf>
    <xf numFmtId="3" fontId="5" fillId="2" borderId="27" xfId="0" applyNumberFormat="1" applyFont="1" applyFill="1" applyBorder="1" applyAlignment="1">
      <alignment horizontal="center" vertical="center"/>
    </xf>
    <xf numFmtId="3" fontId="7" fillId="0" borderId="0" xfId="0" applyNumberFormat="1" applyFont="1" applyAlignment="1">
      <alignment horizontal="center" vertical="center"/>
    </xf>
    <xf numFmtId="3" fontId="15" fillId="0" borderId="0" xfId="0" applyNumberFormat="1" applyFont="1" applyAlignment="1">
      <alignment horizontal="center" vertical="center"/>
    </xf>
    <xf numFmtId="3" fontId="0" fillId="0" borderId="5" xfId="0" applyNumberFormat="1" applyBorder="1" applyAlignment="1">
      <alignment horizontal="center" vertical="center"/>
    </xf>
    <xf numFmtId="3" fontId="0" fillId="0" borderId="6" xfId="0" applyNumberFormat="1" applyBorder="1" applyAlignment="1">
      <alignment horizontal="center" vertical="center"/>
    </xf>
    <xf numFmtId="3" fontId="0" fillId="0" borderId="1" xfId="0" applyNumberFormat="1" applyBorder="1" applyAlignment="1">
      <alignment horizontal="center" vertical="center"/>
    </xf>
    <xf numFmtId="3" fontId="0" fillId="0" borderId="8" xfId="0" applyNumberFormat="1" applyBorder="1" applyAlignment="1">
      <alignment horizontal="center" vertical="center"/>
    </xf>
    <xf numFmtId="3" fontId="0" fillId="0" borderId="2" xfId="0" applyNumberFormat="1" applyBorder="1" applyAlignment="1">
      <alignment horizontal="center" vertical="center"/>
    </xf>
    <xf numFmtId="3" fontId="0" fillId="0" borderId="15" xfId="0" applyNumberFormat="1" applyBorder="1" applyAlignment="1">
      <alignment horizontal="center" vertical="center"/>
    </xf>
    <xf numFmtId="3" fontId="6" fillId="2" borderId="13" xfId="0" applyNumberFormat="1" applyFont="1" applyFill="1" applyBorder="1" applyAlignment="1">
      <alignment horizontal="center" vertical="center"/>
    </xf>
    <xf numFmtId="0" fontId="5" fillId="0" borderId="0" xfId="0" applyFont="1" applyAlignment="1">
      <alignment horizontal="center" vertical="center"/>
    </xf>
    <xf numFmtId="3" fontId="0" fillId="0" borderId="0" xfId="0" applyNumberFormat="1" applyAlignment="1">
      <alignment horizontal="center" vertical="center"/>
    </xf>
    <xf numFmtId="1" fontId="0" fillId="0" borderId="5" xfId="0" applyNumberFormat="1" applyBorder="1" applyAlignment="1">
      <alignment horizontal="center" vertical="center" wrapText="1"/>
    </xf>
    <xf numFmtId="1" fontId="0" fillId="0" borderId="5" xfId="0" applyNumberFormat="1" applyBorder="1" applyAlignment="1">
      <alignment horizontal="center" vertical="center"/>
    </xf>
    <xf numFmtId="0" fontId="7" fillId="0" borderId="7" xfId="0" applyFont="1" applyBorder="1"/>
    <xf numFmtId="3" fontId="7" fillId="2" borderId="10"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xf>
    <xf numFmtId="3" fontId="7" fillId="2" borderId="35" xfId="0" applyNumberFormat="1" applyFont="1" applyFill="1" applyBorder="1" applyAlignment="1">
      <alignment horizontal="center" vertical="center"/>
    </xf>
    <xf numFmtId="3" fontId="7" fillId="2" borderId="36" xfId="0" applyNumberFormat="1" applyFont="1" applyFill="1" applyBorder="1" applyAlignment="1">
      <alignment horizontal="center" vertical="center"/>
    </xf>
    <xf numFmtId="1" fontId="0" fillId="0" borderId="1" xfId="0" applyNumberFormat="1" applyBorder="1" applyAlignment="1">
      <alignment horizontal="center" wrapText="1"/>
    </xf>
    <xf numFmtId="0" fontId="5" fillId="0" borderId="37" xfId="0" applyFont="1" applyBorder="1" applyAlignment="1">
      <alignment wrapText="1"/>
    </xf>
    <xf numFmtId="3" fontId="0" fillId="10" borderId="2" xfId="0" applyNumberFormat="1" applyFill="1" applyBorder="1" applyAlignment="1">
      <alignment horizontal="center" vertical="center"/>
    </xf>
    <xf numFmtId="3" fontId="0" fillId="0" borderId="38" xfId="0" applyNumberFormat="1" applyBorder="1" applyAlignment="1">
      <alignment horizontal="center" vertical="center" wrapText="1"/>
    </xf>
    <xf numFmtId="3" fontId="0" fillId="10" borderId="1" xfId="0" applyNumberFormat="1" applyFill="1" applyBorder="1" applyAlignment="1">
      <alignment horizontal="center" vertical="center"/>
    </xf>
    <xf numFmtId="0" fontId="3" fillId="0" borderId="21" xfId="0" applyFont="1" applyBorder="1" applyAlignment="1">
      <alignment vertical="top"/>
    </xf>
    <xf numFmtId="3" fontId="3" fillId="0" borderId="38" xfId="1" applyNumberFormat="1" applyFont="1" applyBorder="1" applyAlignment="1">
      <alignment horizontal="right"/>
    </xf>
    <xf numFmtId="3" fontId="5" fillId="0" borderId="38" xfId="1" applyNumberFormat="1" applyFont="1" applyBorder="1" applyAlignment="1">
      <alignment horizontal="right"/>
    </xf>
    <xf numFmtId="3" fontId="3" fillId="0" borderId="38" xfId="0" applyNumberFormat="1" applyFont="1" applyBorder="1" applyAlignment="1">
      <alignment horizontal="right"/>
    </xf>
    <xf numFmtId="3" fontId="5" fillId="0" borderId="38" xfId="0" applyNumberFormat="1" applyFont="1" applyBorder="1" applyAlignment="1">
      <alignment horizontal="right"/>
    </xf>
    <xf numFmtId="3" fontId="3" fillId="0" borderId="39" xfId="0" applyNumberFormat="1" applyFont="1" applyBorder="1" applyAlignment="1">
      <alignment horizontal="right"/>
    </xf>
    <xf numFmtId="3" fontId="3" fillId="10" borderId="1" xfId="1" applyNumberFormat="1" applyFont="1" applyFill="1" applyBorder="1" applyAlignment="1">
      <alignment horizontal="right"/>
    </xf>
    <xf numFmtId="3" fontId="3" fillId="10" borderId="2" xfId="1" applyNumberFormat="1" applyFont="1" applyFill="1" applyBorder="1" applyAlignment="1">
      <alignment horizontal="right"/>
    </xf>
    <xf numFmtId="3" fontId="3" fillId="10" borderId="1" xfId="0" applyNumberFormat="1" applyFont="1" applyFill="1" applyBorder="1" applyAlignment="1">
      <alignment horizontal="right"/>
    </xf>
    <xf numFmtId="3" fontId="3" fillId="10" borderId="2" xfId="0" applyNumberFormat="1" applyFont="1" applyFill="1" applyBorder="1" applyAlignment="1">
      <alignment horizontal="right"/>
    </xf>
    <xf numFmtId="3" fontId="3" fillId="10" borderId="1" xfId="0" applyNumberFormat="1" applyFont="1" applyFill="1" applyBorder="1"/>
    <xf numFmtId="0" fontId="5" fillId="0" borderId="1" xfId="0" applyFont="1" applyBorder="1"/>
    <xf numFmtId="0" fontId="2" fillId="9" borderId="22" xfId="0" applyFont="1" applyFill="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xf numFmtId="0" fontId="15" fillId="0" borderId="16" xfId="0" applyFont="1" applyBorder="1" applyAlignment="1">
      <alignment wrapText="1"/>
    </xf>
    <xf numFmtId="0" fontId="15" fillId="9" borderId="1" xfId="0" applyFont="1" applyFill="1" applyBorder="1" applyAlignment="1">
      <alignment vertical="center" wrapText="1"/>
    </xf>
    <xf numFmtId="0" fontId="15" fillId="0" borderId="35" xfId="0" applyFont="1" applyBorder="1" applyAlignment="1">
      <alignment wrapText="1"/>
    </xf>
    <xf numFmtId="0" fontId="15" fillId="7" borderId="1" xfId="0" applyFont="1" applyFill="1" applyBorder="1" applyAlignment="1">
      <alignment wrapText="1"/>
    </xf>
    <xf numFmtId="0" fontId="15" fillId="9" borderId="1" xfId="0" applyFont="1" applyFill="1" applyBorder="1" applyAlignment="1">
      <alignment wrapText="1"/>
    </xf>
    <xf numFmtId="0" fontId="0" fillId="0" borderId="1" xfId="0" applyBorder="1" applyAlignment="1">
      <alignment wrapText="1"/>
    </xf>
    <xf numFmtId="3" fontId="0" fillId="0" borderId="1" xfId="0" applyNumberFormat="1" applyBorder="1" applyAlignment="1">
      <alignment wrapText="1"/>
    </xf>
    <xf numFmtId="3" fontId="0" fillId="8" borderId="1" xfId="0" applyNumberFormat="1" applyFill="1" applyBorder="1" applyAlignment="1">
      <alignment wrapText="1"/>
    </xf>
    <xf numFmtId="0" fontId="0" fillId="8" borderId="0" xfId="0" applyFill="1"/>
    <xf numFmtId="0" fontId="0" fillId="0" borderId="38" xfId="0" applyBorder="1" applyAlignment="1">
      <alignment wrapText="1"/>
    </xf>
    <xf numFmtId="0" fontId="15" fillId="7" borderId="1" xfId="0" applyFont="1" applyFill="1" applyBorder="1" applyAlignment="1">
      <alignment horizontal="center" wrapText="1"/>
    </xf>
    <xf numFmtId="0" fontId="15" fillId="2" borderId="16" xfId="0" applyFont="1" applyFill="1" applyBorder="1" applyAlignment="1">
      <alignment horizontal="center" vertical="center" wrapText="1"/>
    </xf>
    <xf numFmtId="0" fontId="15" fillId="2" borderId="35" xfId="0" applyFont="1" applyFill="1" applyBorder="1" applyAlignment="1">
      <alignment horizontal="center" vertical="center" wrapText="1"/>
    </xf>
  </cellXfs>
  <cellStyles count="3">
    <cellStyle name="Currency" xfId="2" builtinId="4"/>
    <cellStyle name="Normal" xfId="0" builtinId="0"/>
    <cellStyle name="Normal_APR04gst"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showGridLines="0" workbookViewId="0">
      <selection activeCell="J10" sqref="J10"/>
    </sheetView>
  </sheetViews>
  <sheetFormatPr defaultColWidth="8.85546875" defaultRowHeight="15"/>
  <sheetData>
    <row r="1" spans="1:1">
      <c r="A1" t="s">
        <v>143</v>
      </c>
    </row>
    <row r="2" spans="1:1" ht="17.25">
      <c r="A2" t="s">
        <v>134</v>
      </c>
    </row>
    <row r="3" spans="1:1">
      <c r="A3" t="s">
        <v>135</v>
      </c>
    </row>
    <row r="4" spans="1:1">
      <c r="A4" t="s">
        <v>68</v>
      </c>
    </row>
    <row r="5" spans="1:1">
      <c r="A5" t="s">
        <v>136</v>
      </c>
    </row>
    <row r="6" spans="1:1">
      <c r="A6" t="s">
        <v>137</v>
      </c>
    </row>
    <row r="7" spans="1:1">
      <c r="A7" t="s">
        <v>138</v>
      </c>
    </row>
    <row r="8" spans="1:1">
      <c r="A8" t="s">
        <v>44</v>
      </c>
    </row>
    <row r="9" spans="1:1">
      <c r="A9" t="s">
        <v>5</v>
      </c>
    </row>
    <row r="10" spans="1:1">
      <c r="A10" t="s">
        <v>6</v>
      </c>
    </row>
    <row r="11" spans="1:1">
      <c r="A11" t="s">
        <v>110</v>
      </c>
    </row>
    <row r="12" spans="1:1">
      <c r="A12" t="s">
        <v>111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1"/>
  <sheetViews>
    <sheetView showGridLines="0" workbookViewId="0">
      <selection activeCell="N1" sqref="N1"/>
    </sheetView>
  </sheetViews>
  <sheetFormatPr defaultColWidth="8.85546875" defaultRowHeight="15"/>
  <cols>
    <col min="1" max="1" width="26" style="17" customWidth="1"/>
    <col min="2" max="13" width="10.7109375" style="17" bestFit="1" customWidth="1"/>
    <col min="14" max="14" width="11.85546875" style="17" bestFit="1" customWidth="1"/>
    <col min="15" max="16384" width="8.85546875" style="17"/>
  </cols>
  <sheetData>
    <row r="1" spans="1:14" ht="15.75" thickBot="1">
      <c r="A1" s="47" t="s">
        <v>0</v>
      </c>
      <c r="B1" s="75">
        <v>43114</v>
      </c>
      <c r="C1" s="75">
        <v>43145</v>
      </c>
      <c r="D1" s="75">
        <v>43173</v>
      </c>
      <c r="E1" s="75">
        <v>43204</v>
      </c>
      <c r="F1" s="75">
        <v>43234</v>
      </c>
      <c r="G1" s="75">
        <v>43265</v>
      </c>
      <c r="H1" s="75">
        <v>43295</v>
      </c>
      <c r="I1" s="75">
        <v>43326</v>
      </c>
      <c r="J1" s="75">
        <v>43357</v>
      </c>
      <c r="K1" s="75">
        <v>43387</v>
      </c>
      <c r="L1" s="75">
        <v>43418</v>
      </c>
      <c r="M1" s="75">
        <v>43448</v>
      </c>
      <c r="N1" s="36" t="s">
        <v>130</v>
      </c>
    </row>
    <row r="2" spans="1:14">
      <c r="A2" s="19"/>
      <c r="B2" s="63"/>
      <c r="C2" s="63"/>
      <c r="D2" s="63"/>
      <c r="E2" s="63"/>
      <c r="F2" s="63"/>
      <c r="G2" s="63"/>
      <c r="H2" s="63"/>
      <c r="I2" s="63"/>
      <c r="J2" s="63"/>
      <c r="K2" s="63"/>
      <c r="L2" s="63"/>
      <c r="M2" s="63"/>
      <c r="N2" s="19"/>
    </row>
    <row r="3" spans="1:14" ht="15.75" thickBot="1">
      <c r="A3" s="21" t="s">
        <v>51</v>
      </c>
      <c r="B3" s="63"/>
      <c r="C3" s="63"/>
      <c r="D3" s="63"/>
      <c r="E3" s="63"/>
      <c r="F3" s="63"/>
      <c r="G3" s="63"/>
      <c r="H3" s="63"/>
      <c r="I3" s="63"/>
      <c r="J3" s="63"/>
      <c r="K3" s="63"/>
      <c r="L3" s="63"/>
      <c r="M3" s="63"/>
      <c r="N3" s="19"/>
    </row>
    <row r="4" spans="1:14" ht="30">
      <c r="A4" s="28" t="s">
        <v>55</v>
      </c>
      <c r="B4" s="105">
        <v>1998152</v>
      </c>
      <c r="C4" s="105">
        <v>1820089</v>
      </c>
      <c r="D4" s="105">
        <v>1981536</v>
      </c>
      <c r="E4" s="105">
        <v>1646235</v>
      </c>
      <c r="F4" s="105">
        <v>1416889</v>
      </c>
      <c r="G4" s="105">
        <v>1661671</v>
      </c>
      <c r="H4" s="105">
        <v>1729542</v>
      </c>
      <c r="I4" s="105">
        <v>1691615</v>
      </c>
      <c r="J4" s="105">
        <v>1759151</v>
      </c>
      <c r="K4" s="105">
        <v>1699663</v>
      </c>
      <c r="L4" s="105">
        <v>1810913</v>
      </c>
      <c r="M4" s="105">
        <v>1783087</v>
      </c>
      <c r="N4" s="196">
        <f>SUM(B4:M4)</f>
        <v>20998543</v>
      </c>
    </row>
    <row r="5" spans="1:14">
      <c r="A5" s="78" t="s">
        <v>2</v>
      </c>
      <c r="B5" s="107">
        <v>101296</v>
      </c>
      <c r="C5" s="107">
        <v>96237</v>
      </c>
      <c r="D5" s="107">
        <v>87732</v>
      </c>
      <c r="E5" s="107">
        <v>56649</v>
      </c>
      <c r="F5" s="107">
        <v>53032</v>
      </c>
      <c r="G5" s="107">
        <v>50713</v>
      </c>
      <c r="H5" s="107">
        <v>53937</v>
      </c>
      <c r="I5" s="107">
        <v>55883</v>
      </c>
      <c r="J5" s="107">
        <v>57552</v>
      </c>
      <c r="K5" s="107">
        <v>58065</v>
      </c>
      <c r="L5" s="107">
        <v>65129</v>
      </c>
      <c r="M5" s="107">
        <v>79024</v>
      </c>
      <c r="N5" s="197">
        <f t="shared" ref="N5:N7" si="0">SUM(B5:M5)</f>
        <v>815249</v>
      </c>
    </row>
    <row r="6" spans="1:14">
      <c r="A6" s="78" t="s">
        <v>57</v>
      </c>
      <c r="B6" s="107">
        <v>1261</v>
      </c>
      <c r="C6" s="107">
        <v>2704</v>
      </c>
      <c r="D6" s="107">
        <v>1132</v>
      </c>
      <c r="E6" s="107">
        <v>910</v>
      </c>
      <c r="F6" s="107">
        <f>79+504</f>
        <v>583</v>
      </c>
      <c r="G6" s="107">
        <v>202</v>
      </c>
      <c r="H6" s="107">
        <v>120</v>
      </c>
      <c r="I6" s="107">
        <v>136</v>
      </c>
      <c r="J6" s="107">
        <v>169</v>
      </c>
      <c r="K6" s="107">
        <v>329</v>
      </c>
      <c r="L6" s="107">
        <f>109+362</f>
        <v>471</v>
      </c>
      <c r="M6" s="107">
        <v>873</v>
      </c>
      <c r="N6" s="197">
        <f t="shared" si="0"/>
        <v>8890</v>
      </c>
    </row>
    <row r="7" spans="1:14" ht="15.75" thickBot="1">
      <c r="A7" s="78" t="s">
        <v>58</v>
      </c>
      <c r="B7" s="156">
        <v>3928</v>
      </c>
      <c r="C7" s="156">
        <v>3114</v>
      </c>
      <c r="D7" s="156">
        <v>2631</v>
      </c>
      <c r="E7" s="156">
        <v>1879</v>
      </c>
      <c r="F7" s="156">
        <v>990</v>
      </c>
      <c r="G7" s="156">
        <v>1026</v>
      </c>
      <c r="H7" s="156">
        <v>901</v>
      </c>
      <c r="I7" s="156">
        <v>886</v>
      </c>
      <c r="J7" s="156">
        <v>940</v>
      </c>
      <c r="K7" s="156">
        <v>2129</v>
      </c>
      <c r="L7" s="156">
        <v>2843</v>
      </c>
      <c r="M7" s="156">
        <v>3259</v>
      </c>
      <c r="N7" s="198">
        <f t="shared" si="0"/>
        <v>24526</v>
      </c>
    </row>
    <row r="8" spans="1:14" ht="16.5" thickTop="1" thickBot="1">
      <c r="A8" s="64" t="s">
        <v>45</v>
      </c>
      <c r="B8" s="157">
        <f>SUM(B4:B7)</f>
        <v>2104637</v>
      </c>
      <c r="C8" s="157">
        <f t="shared" ref="C8:N8" si="1">SUM(C4:C7)</f>
        <v>1922144</v>
      </c>
      <c r="D8" s="157">
        <f t="shared" si="1"/>
        <v>2073031</v>
      </c>
      <c r="E8" s="157">
        <f t="shared" si="1"/>
        <v>1705673</v>
      </c>
      <c r="F8" s="157">
        <f t="shared" si="1"/>
        <v>1471494</v>
      </c>
      <c r="G8" s="157">
        <f t="shared" si="1"/>
        <v>1713612</v>
      </c>
      <c r="H8" s="157">
        <f t="shared" si="1"/>
        <v>1784500</v>
      </c>
      <c r="I8" s="157">
        <f t="shared" si="1"/>
        <v>1748520</v>
      </c>
      <c r="J8" s="157">
        <f t="shared" si="1"/>
        <v>1817812</v>
      </c>
      <c r="K8" s="157">
        <f t="shared" si="1"/>
        <v>1760186</v>
      </c>
      <c r="L8" s="157">
        <f t="shared" si="1"/>
        <v>1879356</v>
      </c>
      <c r="M8" s="157">
        <f t="shared" si="1"/>
        <v>1866243</v>
      </c>
      <c r="N8" s="160">
        <f t="shared" si="1"/>
        <v>21847208</v>
      </c>
    </row>
    <row r="9" spans="1:14" ht="13.5" customHeight="1">
      <c r="A9" s="19"/>
      <c r="B9" s="158"/>
      <c r="C9" s="158"/>
      <c r="D9" s="158"/>
      <c r="E9" s="158"/>
      <c r="F9" s="158"/>
      <c r="G9" s="158"/>
      <c r="H9" s="158"/>
      <c r="I9" s="158"/>
      <c r="J9" s="158"/>
      <c r="K9" s="158"/>
      <c r="L9" s="158"/>
      <c r="M9" s="158"/>
      <c r="N9" s="158"/>
    </row>
    <row r="10" spans="1:14" ht="15.75" thickBot="1">
      <c r="A10" s="21" t="s">
        <v>15</v>
      </c>
      <c r="B10" s="158"/>
      <c r="C10" s="158"/>
      <c r="D10" s="158"/>
      <c r="E10" s="158"/>
      <c r="F10" s="158"/>
      <c r="G10" s="158"/>
      <c r="H10" s="158"/>
      <c r="I10" s="158"/>
      <c r="J10" s="158"/>
      <c r="K10" s="158"/>
      <c r="L10" s="158"/>
      <c r="M10" s="158"/>
      <c r="N10" s="158"/>
    </row>
    <row r="11" spans="1:14">
      <c r="A11" s="86" t="s">
        <v>97</v>
      </c>
      <c r="B11" s="105">
        <v>497</v>
      </c>
      <c r="C11" s="105">
        <v>558</v>
      </c>
      <c r="D11" s="105">
        <v>481</v>
      </c>
      <c r="E11" s="105">
        <v>439</v>
      </c>
      <c r="F11" s="105">
        <v>306</v>
      </c>
      <c r="G11" s="105">
        <v>278</v>
      </c>
      <c r="H11" s="105">
        <v>401</v>
      </c>
      <c r="I11" s="105">
        <v>323</v>
      </c>
      <c r="J11" s="105">
        <v>464</v>
      </c>
      <c r="K11" s="105">
        <v>492</v>
      </c>
      <c r="L11" s="105">
        <v>581</v>
      </c>
      <c r="M11" s="105">
        <v>585</v>
      </c>
      <c r="N11" s="107">
        <f>SUM(B11:M11)</f>
        <v>5405</v>
      </c>
    </row>
    <row r="12" spans="1:14">
      <c r="A12" s="25" t="s">
        <v>98</v>
      </c>
      <c r="B12" s="107">
        <v>8807</v>
      </c>
      <c r="C12" s="107">
        <v>11031</v>
      </c>
      <c r="D12" s="107">
        <v>8721</v>
      </c>
      <c r="E12" s="107">
        <v>5681</v>
      </c>
      <c r="F12" s="107">
        <v>658</v>
      </c>
      <c r="G12" s="107">
        <v>0</v>
      </c>
      <c r="H12" s="107">
        <v>0</v>
      </c>
      <c r="I12" s="107">
        <v>0</v>
      </c>
      <c r="J12" s="107">
        <v>0</v>
      </c>
      <c r="K12" s="107">
        <v>1104</v>
      </c>
      <c r="L12" s="107">
        <v>4639</v>
      </c>
      <c r="M12" s="107">
        <v>6376</v>
      </c>
      <c r="N12" s="107">
        <f t="shared" ref="N12:N15" si="2">SUM(B12:M12)</f>
        <v>47017</v>
      </c>
    </row>
    <row r="13" spans="1:14">
      <c r="A13" s="25" t="s">
        <v>85</v>
      </c>
      <c r="B13" s="107">
        <v>3252</v>
      </c>
      <c r="C13" s="107">
        <v>3216</v>
      </c>
      <c r="D13" s="107">
        <v>3170</v>
      </c>
      <c r="E13" s="107">
        <v>3125</v>
      </c>
      <c r="F13" s="107">
        <v>1719</v>
      </c>
      <c r="G13" s="107">
        <v>1144</v>
      </c>
      <c r="H13" s="107">
        <v>1133</v>
      </c>
      <c r="I13" s="107">
        <v>1180</v>
      </c>
      <c r="J13" s="107">
        <v>1497</v>
      </c>
      <c r="K13" s="107">
        <v>1957</v>
      </c>
      <c r="L13" s="107">
        <v>2819</v>
      </c>
      <c r="M13" s="107">
        <v>3001</v>
      </c>
      <c r="N13" s="107">
        <f t="shared" si="2"/>
        <v>27213</v>
      </c>
    </row>
    <row r="14" spans="1:14">
      <c r="A14" s="25" t="s">
        <v>99</v>
      </c>
      <c r="B14" s="107">
        <v>438</v>
      </c>
      <c r="C14" s="107">
        <v>460</v>
      </c>
      <c r="D14" s="107">
        <v>436</v>
      </c>
      <c r="E14" s="107">
        <v>581</v>
      </c>
      <c r="F14" s="107">
        <v>1602</v>
      </c>
      <c r="G14" s="107">
        <v>696</v>
      </c>
      <c r="H14" s="107">
        <v>769</v>
      </c>
      <c r="I14" s="107">
        <v>751</v>
      </c>
      <c r="J14" s="107">
        <v>817</v>
      </c>
      <c r="K14" s="107">
        <v>753</v>
      </c>
      <c r="L14" s="107">
        <v>701</v>
      </c>
      <c r="M14" s="107">
        <v>585</v>
      </c>
      <c r="N14" s="107">
        <f t="shared" si="2"/>
        <v>8589</v>
      </c>
    </row>
    <row r="15" spans="1:14" ht="15.75" thickBot="1">
      <c r="A15" s="25" t="s">
        <v>100</v>
      </c>
      <c r="B15" s="156">
        <f>100800+22400</f>
        <v>123200</v>
      </c>
      <c r="C15" s="156">
        <v>130200</v>
      </c>
      <c r="D15" s="156">
        <v>108200</v>
      </c>
      <c r="E15" s="156">
        <v>79400</v>
      </c>
      <c r="F15" s="156">
        <v>37200</v>
      </c>
      <c r="G15" s="156">
        <v>23600</v>
      </c>
      <c r="H15" s="156">
        <v>25600</v>
      </c>
      <c r="I15" s="156">
        <v>26200</v>
      </c>
      <c r="J15" s="156">
        <v>32600</v>
      </c>
      <c r="K15" s="156">
        <v>40400</v>
      </c>
      <c r="L15" s="156">
        <v>77200</v>
      </c>
      <c r="M15" s="156">
        <v>90800</v>
      </c>
      <c r="N15" s="156">
        <f t="shared" si="2"/>
        <v>794600</v>
      </c>
    </row>
    <row r="16" spans="1:14" ht="16.5" thickTop="1" thickBot="1">
      <c r="A16" s="72" t="s">
        <v>46</v>
      </c>
      <c r="B16" s="199">
        <f>SUM(B11:B15)</f>
        <v>136194</v>
      </c>
      <c r="C16" s="199">
        <f t="shared" ref="C16:N16" si="3">SUM(C11:C15)</f>
        <v>145465</v>
      </c>
      <c r="D16" s="199">
        <f t="shared" si="3"/>
        <v>121008</v>
      </c>
      <c r="E16" s="199">
        <f t="shared" si="3"/>
        <v>89226</v>
      </c>
      <c r="F16" s="199">
        <f t="shared" si="3"/>
        <v>41485</v>
      </c>
      <c r="G16" s="199">
        <f t="shared" si="3"/>
        <v>25718</v>
      </c>
      <c r="H16" s="199">
        <f t="shared" si="3"/>
        <v>27903</v>
      </c>
      <c r="I16" s="199">
        <f t="shared" si="3"/>
        <v>28454</v>
      </c>
      <c r="J16" s="199">
        <f t="shared" si="3"/>
        <v>35378</v>
      </c>
      <c r="K16" s="199">
        <f t="shared" si="3"/>
        <v>44706</v>
      </c>
      <c r="L16" s="199">
        <f t="shared" si="3"/>
        <v>85940</v>
      </c>
      <c r="M16" s="199">
        <f t="shared" si="3"/>
        <v>101347</v>
      </c>
      <c r="N16" s="202">
        <f t="shared" si="3"/>
        <v>882824</v>
      </c>
    </row>
    <row r="17" spans="1:14" ht="30.75" thickTop="1" thickBot="1">
      <c r="A17" s="73" t="s">
        <v>50</v>
      </c>
      <c r="B17" s="157">
        <f>B8+B16</f>
        <v>2240831</v>
      </c>
      <c r="C17" s="157">
        <f t="shared" ref="C17:N17" si="4">C8+C16</f>
        <v>2067609</v>
      </c>
      <c r="D17" s="157">
        <f t="shared" si="4"/>
        <v>2194039</v>
      </c>
      <c r="E17" s="157">
        <f t="shared" si="4"/>
        <v>1794899</v>
      </c>
      <c r="F17" s="157">
        <f t="shared" si="4"/>
        <v>1512979</v>
      </c>
      <c r="G17" s="157">
        <f t="shared" si="4"/>
        <v>1739330</v>
      </c>
      <c r="H17" s="157">
        <f t="shared" si="4"/>
        <v>1812403</v>
      </c>
      <c r="I17" s="157">
        <f t="shared" si="4"/>
        <v>1776974</v>
      </c>
      <c r="J17" s="157">
        <f t="shared" si="4"/>
        <v>1853190</v>
      </c>
      <c r="K17" s="157">
        <f t="shared" si="4"/>
        <v>1804892</v>
      </c>
      <c r="L17" s="157">
        <f t="shared" si="4"/>
        <v>1965296</v>
      </c>
      <c r="M17" s="157">
        <f t="shared" si="4"/>
        <v>1967590</v>
      </c>
      <c r="N17" s="160">
        <f t="shared" si="4"/>
        <v>22730032</v>
      </c>
    </row>
    <row r="18" spans="1:14" ht="15.75" thickBot="1">
      <c r="B18" s="159"/>
      <c r="C18" s="159"/>
      <c r="D18" s="159"/>
      <c r="E18" s="159"/>
      <c r="F18" s="159"/>
      <c r="G18" s="159"/>
      <c r="H18" s="159"/>
      <c r="I18" s="159"/>
      <c r="J18" s="159"/>
      <c r="K18" s="159"/>
      <c r="L18" s="159"/>
      <c r="M18" s="159"/>
      <c r="N18" s="159"/>
    </row>
    <row r="19" spans="1:14" ht="15.75" thickBot="1">
      <c r="A19" s="60" t="s">
        <v>20</v>
      </c>
      <c r="B19" s="188">
        <v>49969</v>
      </c>
      <c r="C19" s="188">
        <v>44183.81</v>
      </c>
      <c r="D19" s="188">
        <v>49107.93</v>
      </c>
      <c r="E19" s="188">
        <v>42498.98</v>
      </c>
      <c r="F19" s="188">
        <v>39769.01</v>
      </c>
      <c r="G19" s="188">
        <v>45480.53</v>
      </c>
      <c r="H19" s="188">
        <v>45634.35</v>
      </c>
      <c r="I19" s="188">
        <v>43955.94</v>
      </c>
      <c r="J19" s="188">
        <v>50717.599999999999</v>
      </c>
      <c r="K19" s="188">
        <v>48993.59</v>
      </c>
      <c r="L19" s="188">
        <v>47264.76</v>
      </c>
      <c r="M19" s="188">
        <v>44395</v>
      </c>
      <c r="N19" s="189">
        <f>SUM(B19:M19)</f>
        <v>551970.5</v>
      </c>
    </row>
    <row r="20" spans="1:14" ht="15.75" thickBot="1">
      <c r="B20" s="159"/>
      <c r="C20" s="159"/>
      <c r="D20" s="159"/>
      <c r="E20" s="159"/>
      <c r="F20" s="159"/>
      <c r="G20" s="159"/>
      <c r="H20" s="159"/>
      <c r="I20" s="159"/>
      <c r="J20" s="159"/>
      <c r="K20" s="159"/>
      <c r="L20" s="159"/>
      <c r="M20" s="159"/>
      <c r="N20" s="159"/>
    </row>
    <row r="21" spans="1:14" ht="15.75" thickBot="1">
      <c r="A21" s="18" t="s">
        <v>52</v>
      </c>
      <c r="B21" s="200">
        <f>B17+B19</f>
        <v>2290800</v>
      </c>
      <c r="C21" s="200">
        <f t="shared" ref="C21:N21" si="5">C17+C19</f>
        <v>2111792.81</v>
      </c>
      <c r="D21" s="200">
        <f t="shared" si="5"/>
        <v>2243146.9300000002</v>
      </c>
      <c r="E21" s="200">
        <f t="shared" si="5"/>
        <v>1837397.98</v>
      </c>
      <c r="F21" s="200">
        <f t="shared" si="5"/>
        <v>1552748.01</v>
      </c>
      <c r="G21" s="200">
        <f t="shared" si="5"/>
        <v>1784810.53</v>
      </c>
      <c r="H21" s="200">
        <f t="shared" si="5"/>
        <v>1858037.35</v>
      </c>
      <c r="I21" s="200">
        <f t="shared" si="5"/>
        <v>1820929.94</v>
      </c>
      <c r="J21" s="200">
        <f t="shared" si="5"/>
        <v>1903907.6</v>
      </c>
      <c r="K21" s="200">
        <f t="shared" si="5"/>
        <v>1853885.59</v>
      </c>
      <c r="L21" s="200">
        <f t="shared" si="5"/>
        <v>2012560.76</v>
      </c>
      <c r="M21" s="200">
        <f t="shared" si="5"/>
        <v>2011985</v>
      </c>
      <c r="N21" s="201">
        <f t="shared" si="5"/>
        <v>23282002.5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1"/>
  <sheetViews>
    <sheetView showGridLines="0" workbookViewId="0">
      <selection activeCell="N1" sqref="N1"/>
    </sheetView>
  </sheetViews>
  <sheetFormatPr defaultColWidth="8.85546875" defaultRowHeight="15"/>
  <cols>
    <col min="1" max="1" width="24.42578125" style="17" customWidth="1"/>
    <col min="2" max="13" width="10.7109375" style="17" bestFit="1" customWidth="1"/>
    <col min="14" max="14" width="11.7109375" style="17" customWidth="1"/>
    <col min="15" max="16384" width="8.85546875" style="17"/>
  </cols>
  <sheetData>
    <row r="1" spans="1:14" ht="15.75" thickBot="1">
      <c r="A1" s="23" t="s">
        <v>0</v>
      </c>
      <c r="B1" s="2">
        <v>42005</v>
      </c>
      <c r="C1" s="2">
        <v>42036</v>
      </c>
      <c r="D1" s="2">
        <v>42064</v>
      </c>
      <c r="E1" s="2">
        <v>42095</v>
      </c>
      <c r="F1" s="2">
        <v>42125</v>
      </c>
      <c r="G1" s="2">
        <v>42156</v>
      </c>
      <c r="H1" s="2">
        <v>42186</v>
      </c>
      <c r="I1" s="2">
        <v>42217</v>
      </c>
      <c r="J1" s="2">
        <v>42248</v>
      </c>
      <c r="K1" s="2">
        <v>42278</v>
      </c>
      <c r="L1" s="2">
        <v>42309</v>
      </c>
      <c r="M1" s="2">
        <v>42339</v>
      </c>
      <c r="N1" s="36" t="s">
        <v>130</v>
      </c>
    </row>
    <row r="2" spans="1:14">
      <c r="A2" s="76"/>
      <c r="B2" s="30"/>
      <c r="C2" s="30"/>
      <c r="D2" s="30"/>
      <c r="E2" s="30"/>
      <c r="F2" s="30"/>
      <c r="G2" s="30"/>
      <c r="H2" s="30"/>
      <c r="I2" s="30"/>
      <c r="J2" s="30"/>
      <c r="K2" s="30"/>
      <c r="L2" s="30"/>
      <c r="M2" s="30"/>
      <c r="N2" s="77"/>
    </row>
    <row r="3" spans="1:14" ht="15.75" thickBot="1">
      <c r="A3" s="76" t="s">
        <v>51</v>
      </c>
      <c r="B3" s="30"/>
      <c r="C3" s="30"/>
      <c r="D3" s="30"/>
      <c r="E3" s="30"/>
      <c r="F3" s="30"/>
      <c r="G3" s="30"/>
      <c r="H3" s="30"/>
      <c r="I3" s="30"/>
      <c r="J3" s="30"/>
      <c r="K3" s="30"/>
      <c r="L3" s="30"/>
      <c r="M3" s="30"/>
      <c r="N3" s="77"/>
    </row>
    <row r="4" spans="1:14" ht="30">
      <c r="A4" s="28" t="s">
        <v>55</v>
      </c>
      <c r="B4" s="105">
        <v>1971871</v>
      </c>
      <c r="C4" s="105">
        <v>1792859</v>
      </c>
      <c r="D4" s="105">
        <v>1890766</v>
      </c>
      <c r="E4" s="105">
        <v>1613262</v>
      </c>
      <c r="F4" s="105">
        <v>1611613</v>
      </c>
      <c r="G4" s="105">
        <v>1620785</v>
      </c>
      <c r="H4" s="105">
        <v>1864680</v>
      </c>
      <c r="I4" s="105">
        <v>1825705</v>
      </c>
      <c r="J4" s="105">
        <v>1916992</v>
      </c>
      <c r="K4" s="105">
        <v>1650650</v>
      </c>
      <c r="L4" s="105">
        <v>1691947</v>
      </c>
      <c r="M4" s="105">
        <v>1716218</v>
      </c>
      <c r="N4" s="196">
        <f>SUM(B4:M4)</f>
        <v>21167348</v>
      </c>
    </row>
    <row r="5" spans="1:14">
      <c r="A5" s="78" t="s">
        <v>2</v>
      </c>
      <c r="B5" s="107">
        <v>111804</v>
      </c>
      <c r="C5" s="107">
        <v>106404</v>
      </c>
      <c r="D5" s="107">
        <v>80202</v>
      </c>
      <c r="E5" s="107">
        <v>54512</v>
      </c>
      <c r="F5" s="107">
        <v>54040</v>
      </c>
      <c r="G5" s="107">
        <v>56608</v>
      </c>
      <c r="H5" s="107">
        <v>63305</v>
      </c>
      <c r="I5" s="107">
        <v>63622</v>
      </c>
      <c r="J5" s="107">
        <v>64172</v>
      </c>
      <c r="K5" s="107">
        <v>57683</v>
      </c>
      <c r="L5" s="107">
        <v>59611</v>
      </c>
      <c r="M5" s="107">
        <v>54096</v>
      </c>
      <c r="N5" s="197">
        <f t="shared" ref="N5:N7" si="0">SUM(B5:M5)</f>
        <v>826059</v>
      </c>
    </row>
    <row r="6" spans="1:14">
      <c r="A6" s="78" t="s">
        <v>57</v>
      </c>
      <c r="B6" s="107">
        <v>1256</v>
      </c>
      <c r="C6" s="107">
        <v>1342</v>
      </c>
      <c r="D6" s="107">
        <v>874</v>
      </c>
      <c r="E6" s="107">
        <f>43+353</f>
        <v>396</v>
      </c>
      <c r="F6" s="107">
        <v>199</v>
      </c>
      <c r="G6" s="107">
        <v>122</v>
      </c>
      <c r="H6" s="107">
        <v>92</v>
      </c>
      <c r="I6" s="107">
        <v>98</v>
      </c>
      <c r="J6" s="107">
        <v>215</v>
      </c>
      <c r="K6" s="107">
        <f>58+376</f>
        <v>434</v>
      </c>
      <c r="L6" s="107">
        <v>788</v>
      </c>
      <c r="M6" s="107">
        <v>957</v>
      </c>
      <c r="N6" s="197">
        <f t="shared" si="0"/>
        <v>6773</v>
      </c>
    </row>
    <row r="7" spans="1:14" ht="15.75" thickBot="1">
      <c r="A7" s="78" t="s">
        <v>58</v>
      </c>
      <c r="B7" s="156">
        <v>3445</v>
      </c>
      <c r="C7" s="156">
        <v>3510</v>
      </c>
      <c r="D7" s="156">
        <v>2240</v>
      </c>
      <c r="E7" s="156">
        <f>258+1014</f>
        <v>1272</v>
      </c>
      <c r="F7" s="156">
        <v>1091</v>
      </c>
      <c r="G7" s="156">
        <v>1198</v>
      </c>
      <c r="H7" s="156">
        <v>1052</v>
      </c>
      <c r="I7" s="156">
        <v>976</v>
      </c>
      <c r="J7" s="156">
        <v>901</v>
      </c>
      <c r="K7" s="156">
        <f>258+1286</f>
        <v>1544</v>
      </c>
      <c r="L7" s="156">
        <v>1847</v>
      </c>
      <c r="M7" s="156">
        <v>1640</v>
      </c>
      <c r="N7" s="198">
        <f t="shared" si="0"/>
        <v>20716</v>
      </c>
    </row>
    <row r="8" spans="1:14" ht="16.5" thickTop="1" thickBot="1">
      <c r="A8" s="73" t="s">
        <v>45</v>
      </c>
      <c r="B8" s="157">
        <f t="shared" ref="B8:N8" si="1">SUM(B4:B7)</f>
        <v>2088376</v>
      </c>
      <c r="C8" s="157">
        <f t="shared" si="1"/>
        <v>1904115</v>
      </c>
      <c r="D8" s="157">
        <f t="shared" si="1"/>
        <v>1974082</v>
      </c>
      <c r="E8" s="157">
        <f t="shared" si="1"/>
        <v>1669442</v>
      </c>
      <c r="F8" s="157">
        <f t="shared" si="1"/>
        <v>1666943</v>
      </c>
      <c r="G8" s="157">
        <f t="shared" si="1"/>
        <v>1678713</v>
      </c>
      <c r="H8" s="157">
        <f t="shared" si="1"/>
        <v>1929129</v>
      </c>
      <c r="I8" s="157">
        <f t="shared" si="1"/>
        <v>1890401</v>
      </c>
      <c r="J8" s="157">
        <f t="shared" si="1"/>
        <v>1982280</v>
      </c>
      <c r="K8" s="157">
        <f t="shared" si="1"/>
        <v>1710311</v>
      </c>
      <c r="L8" s="157">
        <f t="shared" si="1"/>
        <v>1754193</v>
      </c>
      <c r="M8" s="157">
        <f t="shared" si="1"/>
        <v>1772911</v>
      </c>
      <c r="N8" s="160">
        <f t="shared" si="1"/>
        <v>22020896</v>
      </c>
    </row>
    <row r="9" spans="1:14">
      <c r="A9" s="48"/>
      <c r="B9" s="158"/>
      <c r="C9" s="158"/>
      <c r="D9" s="158"/>
      <c r="E9" s="158"/>
      <c r="F9" s="158"/>
      <c r="G9" s="158"/>
      <c r="H9" s="158"/>
      <c r="I9" s="158"/>
      <c r="J9" s="158"/>
      <c r="K9" s="158"/>
      <c r="L9" s="158"/>
      <c r="M9" s="158"/>
      <c r="N9" s="158"/>
    </row>
    <row r="10" spans="1:14" ht="15.75" thickBot="1">
      <c r="A10" s="76" t="s">
        <v>15</v>
      </c>
      <c r="B10" s="158"/>
      <c r="C10" s="158"/>
      <c r="D10" s="158"/>
      <c r="E10" s="158"/>
      <c r="F10" s="158"/>
      <c r="G10" s="158"/>
      <c r="H10" s="158"/>
      <c r="I10" s="158"/>
      <c r="J10" s="158"/>
      <c r="K10" s="158"/>
      <c r="L10" s="158"/>
      <c r="M10" s="158"/>
      <c r="N10" s="158"/>
    </row>
    <row r="11" spans="1:14">
      <c r="A11" s="86" t="s">
        <v>97</v>
      </c>
      <c r="B11" s="105">
        <v>723</v>
      </c>
      <c r="C11" s="105">
        <v>716</v>
      </c>
      <c r="D11" s="105">
        <v>540</v>
      </c>
      <c r="E11" s="105">
        <v>463</v>
      </c>
      <c r="F11" s="105">
        <f>248+89</f>
        <v>337</v>
      </c>
      <c r="G11" s="105">
        <v>408</v>
      </c>
      <c r="H11" s="105">
        <v>503</v>
      </c>
      <c r="I11" s="105">
        <v>1230</v>
      </c>
      <c r="J11" s="105">
        <v>1046</v>
      </c>
      <c r="K11" s="105">
        <v>685</v>
      </c>
      <c r="L11" s="105">
        <f>725+273</f>
        <v>998</v>
      </c>
      <c r="M11" s="105">
        <f>876</f>
        <v>876</v>
      </c>
      <c r="N11" s="196">
        <f>SUM(B11:M11)</f>
        <v>8525</v>
      </c>
    </row>
    <row r="12" spans="1:14">
      <c r="A12" s="25" t="s">
        <v>98</v>
      </c>
      <c r="B12" s="107">
        <f>622</f>
        <v>622</v>
      </c>
      <c r="C12" s="107">
        <v>645</v>
      </c>
      <c r="D12" s="107">
        <v>602</v>
      </c>
      <c r="E12" s="107">
        <v>633</v>
      </c>
      <c r="F12" s="107">
        <f>465+152</f>
        <v>617</v>
      </c>
      <c r="G12" s="107">
        <v>707</v>
      </c>
      <c r="H12" s="107">
        <v>695</v>
      </c>
      <c r="I12" s="107">
        <v>790</v>
      </c>
      <c r="J12" s="107">
        <v>829</v>
      </c>
      <c r="K12" s="107">
        <v>821</v>
      </c>
      <c r="L12" s="107">
        <f>409+216</f>
        <v>625</v>
      </c>
      <c r="M12" s="107">
        <f>536</f>
        <v>536</v>
      </c>
      <c r="N12" s="197">
        <f t="shared" ref="N12:N15" si="2">SUM(B12:M12)</f>
        <v>8122</v>
      </c>
    </row>
    <row r="13" spans="1:14">
      <c r="A13" s="25" t="s">
        <v>85</v>
      </c>
      <c r="B13" s="107">
        <f>3390</f>
        <v>3390</v>
      </c>
      <c r="C13" s="107">
        <v>3965</v>
      </c>
      <c r="D13" s="107">
        <v>3084</v>
      </c>
      <c r="E13" s="107">
        <v>2415</v>
      </c>
      <c r="F13" s="107">
        <f>1065+417</f>
        <v>1482</v>
      </c>
      <c r="G13" s="178">
        <v>1772</v>
      </c>
      <c r="H13" s="178">
        <v>1420</v>
      </c>
      <c r="I13" s="178">
        <v>1455</v>
      </c>
      <c r="J13" s="178">
        <v>1620</v>
      </c>
      <c r="K13" s="178">
        <v>1854</v>
      </c>
      <c r="L13" s="178">
        <f>1519+491</f>
        <v>2010</v>
      </c>
      <c r="M13" s="178">
        <f>2605</f>
        <v>2605</v>
      </c>
      <c r="N13" s="197">
        <f t="shared" si="2"/>
        <v>27072</v>
      </c>
    </row>
    <row r="14" spans="1:14">
      <c r="A14" s="25" t="s">
        <v>99</v>
      </c>
      <c r="B14" s="107">
        <f>9395</f>
        <v>9395</v>
      </c>
      <c r="C14" s="107">
        <v>11827</v>
      </c>
      <c r="D14" s="107">
        <v>7765</v>
      </c>
      <c r="E14" s="107">
        <v>4541</v>
      </c>
      <c r="F14" s="107">
        <f>331+633</f>
        <v>964</v>
      </c>
      <c r="G14" s="107">
        <v>70</v>
      </c>
      <c r="H14" s="107">
        <v>0</v>
      </c>
      <c r="I14" s="107">
        <v>0</v>
      </c>
      <c r="J14" s="107">
        <v>0</v>
      </c>
      <c r="K14" s="107">
        <v>1533</v>
      </c>
      <c r="L14" s="107">
        <f>2782+983</f>
        <v>3765</v>
      </c>
      <c r="M14" s="107">
        <f>5134</f>
        <v>5134</v>
      </c>
      <c r="N14" s="197">
        <f t="shared" si="2"/>
        <v>44994</v>
      </c>
    </row>
    <row r="15" spans="1:14" ht="15.75" thickBot="1">
      <c r="A15" s="25" t="s">
        <v>100</v>
      </c>
      <c r="B15" s="156">
        <f>123000</f>
        <v>123000</v>
      </c>
      <c r="C15" s="156">
        <v>149000</v>
      </c>
      <c r="D15" s="156">
        <v>109800</v>
      </c>
      <c r="E15" s="156">
        <v>67800</v>
      </c>
      <c r="F15" s="156">
        <v>33600</v>
      </c>
      <c r="G15" s="156">
        <v>29000</v>
      </c>
      <c r="H15" s="156">
        <v>25400</v>
      </c>
      <c r="I15" s="156">
        <v>29800</v>
      </c>
      <c r="J15" s="156">
        <v>32600</v>
      </c>
      <c r="K15" s="156">
        <v>41400</v>
      </c>
      <c r="L15" s="156">
        <f>61600</f>
        <v>61600</v>
      </c>
      <c r="M15" s="156">
        <f>73800</f>
        <v>73800</v>
      </c>
      <c r="N15" s="198">
        <f t="shared" si="2"/>
        <v>776800</v>
      </c>
    </row>
    <row r="16" spans="1:14" ht="16.5" thickTop="1" thickBot="1">
      <c r="A16" s="79" t="s">
        <v>46</v>
      </c>
      <c r="B16" s="203">
        <f>SUM(B11:B15)</f>
        <v>137130</v>
      </c>
      <c r="C16" s="203">
        <f t="shared" ref="C16:N16" si="3">SUM(C11:C15)</f>
        <v>166153</v>
      </c>
      <c r="D16" s="203">
        <f t="shared" si="3"/>
        <v>121791</v>
      </c>
      <c r="E16" s="203">
        <f t="shared" si="3"/>
        <v>75852</v>
      </c>
      <c r="F16" s="203">
        <f t="shared" si="3"/>
        <v>37000</v>
      </c>
      <c r="G16" s="203">
        <f t="shared" si="3"/>
        <v>31957</v>
      </c>
      <c r="H16" s="203">
        <f t="shared" si="3"/>
        <v>28018</v>
      </c>
      <c r="I16" s="203">
        <f t="shared" si="3"/>
        <v>33275</v>
      </c>
      <c r="J16" s="203">
        <f t="shared" si="3"/>
        <v>36095</v>
      </c>
      <c r="K16" s="203">
        <f t="shared" si="3"/>
        <v>46293</v>
      </c>
      <c r="L16" s="203">
        <f t="shared" si="3"/>
        <v>68998</v>
      </c>
      <c r="M16" s="203">
        <f t="shared" si="3"/>
        <v>82951</v>
      </c>
      <c r="N16" s="202">
        <f t="shared" si="3"/>
        <v>865513</v>
      </c>
    </row>
    <row r="17" spans="1:14" ht="30.75" thickTop="1" thickBot="1">
      <c r="A17" s="73" t="s">
        <v>50</v>
      </c>
      <c r="B17" s="157">
        <f>B8+B16</f>
        <v>2225506</v>
      </c>
      <c r="C17" s="157">
        <f t="shared" ref="C17:M17" si="4">C8+C16</f>
        <v>2070268</v>
      </c>
      <c r="D17" s="157">
        <f t="shared" si="4"/>
        <v>2095873</v>
      </c>
      <c r="E17" s="157">
        <f t="shared" si="4"/>
        <v>1745294</v>
      </c>
      <c r="F17" s="157">
        <f t="shared" si="4"/>
        <v>1703943</v>
      </c>
      <c r="G17" s="157">
        <f t="shared" si="4"/>
        <v>1710670</v>
      </c>
      <c r="H17" s="157">
        <f t="shared" si="4"/>
        <v>1957147</v>
      </c>
      <c r="I17" s="157">
        <f t="shared" si="4"/>
        <v>1923676</v>
      </c>
      <c r="J17" s="157">
        <f t="shared" si="4"/>
        <v>2018375</v>
      </c>
      <c r="K17" s="157">
        <f t="shared" si="4"/>
        <v>1756604</v>
      </c>
      <c r="L17" s="157">
        <f t="shared" si="4"/>
        <v>1823191</v>
      </c>
      <c r="M17" s="157">
        <f t="shared" si="4"/>
        <v>1855862</v>
      </c>
      <c r="N17" s="160">
        <f>N8+N16+N19</f>
        <v>23459248.239999998</v>
      </c>
    </row>
    <row r="18" spans="1:14" ht="15.75" thickBot="1">
      <c r="A18" s="21"/>
      <c r="B18" s="159"/>
      <c r="C18" s="159"/>
      <c r="D18" s="159"/>
      <c r="E18" s="159"/>
      <c r="F18" s="159"/>
      <c r="G18" s="159"/>
      <c r="H18" s="159"/>
      <c r="I18" s="159"/>
      <c r="J18" s="159"/>
      <c r="K18" s="159"/>
      <c r="L18" s="159"/>
      <c r="M18" s="159"/>
      <c r="N18" s="204"/>
    </row>
    <row r="19" spans="1:14" ht="15.75" thickBot="1">
      <c r="A19" s="66" t="s">
        <v>20</v>
      </c>
      <c r="B19" s="188">
        <v>48713.95</v>
      </c>
      <c r="C19" s="188">
        <v>44438.94</v>
      </c>
      <c r="D19" s="188">
        <v>50931.81</v>
      </c>
      <c r="E19" s="188">
        <v>43735.62</v>
      </c>
      <c r="F19" s="188">
        <v>42112.66</v>
      </c>
      <c r="G19" s="188">
        <v>44213.67</v>
      </c>
      <c r="H19" s="188">
        <v>50843.87</v>
      </c>
      <c r="I19" s="188">
        <v>50843.87</v>
      </c>
      <c r="J19" s="188">
        <v>53734.68</v>
      </c>
      <c r="K19" s="188">
        <v>47572.4</v>
      </c>
      <c r="L19" s="188">
        <v>49143.59</v>
      </c>
      <c r="M19" s="188">
        <v>46554.18</v>
      </c>
      <c r="N19" s="189">
        <f>SUM(B19:M19)</f>
        <v>572839.24000000011</v>
      </c>
    </row>
    <row r="20" spans="1:14" ht="15.75" thickBot="1">
      <c r="B20" s="159"/>
      <c r="C20" s="159"/>
      <c r="D20" s="159"/>
      <c r="E20" s="159"/>
      <c r="F20" s="159"/>
      <c r="G20" s="159"/>
      <c r="H20" s="159"/>
      <c r="I20" s="159"/>
      <c r="J20" s="159"/>
      <c r="K20" s="159"/>
      <c r="L20" s="159"/>
      <c r="M20" s="159"/>
      <c r="N20" s="159"/>
    </row>
    <row r="21" spans="1:14" ht="15.75" thickBot="1">
      <c r="A21" s="18" t="s">
        <v>48</v>
      </c>
      <c r="B21" s="200">
        <f>B17+B19</f>
        <v>2274219.9500000002</v>
      </c>
      <c r="C21" s="200">
        <f t="shared" ref="C21:N21" si="5">C17+C19</f>
        <v>2114706.94</v>
      </c>
      <c r="D21" s="200">
        <f t="shared" si="5"/>
        <v>2146804.81</v>
      </c>
      <c r="E21" s="200">
        <f t="shared" si="5"/>
        <v>1789029.62</v>
      </c>
      <c r="F21" s="200">
        <f t="shared" si="5"/>
        <v>1746055.66</v>
      </c>
      <c r="G21" s="200">
        <f t="shared" si="5"/>
        <v>1754883.67</v>
      </c>
      <c r="H21" s="200">
        <f t="shared" si="5"/>
        <v>2007990.87</v>
      </c>
      <c r="I21" s="200">
        <f t="shared" si="5"/>
        <v>1974519.87</v>
      </c>
      <c r="J21" s="200">
        <f t="shared" si="5"/>
        <v>2072109.68</v>
      </c>
      <c r="K21" s="200">
        <f t="shared" si="5"/>
        <v>1804176.4</v>
      </c>
      <c r="L21" s="200">
        <f t="shared" si="5"/>
        <v>1872334.59</v>
      </c>
      <c r="M21" s="200">
        <f t="shared" si="5"/>
        <v>1902416.18</v>
      </c>
      <c r="N21" s="201">
        <f t="shared" si="5"/>
        <v>24032087.479999997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
  <sheetViews>
    <sheetView showGridLines="0" workbookViewId="0">
      <selection activeCell="H7" sqref="H7"/>
    </sheetView>
  </sheetViews>
  <sheetFormatPr defaultColWidth="8.85546875" defaultRowHeight="15"/>
  <cols>
    <col min="1" max="1" width="23.7109375" style="17" customWidth="1"/>
    <col min="2" max="13" width="10.7109375" style="17" bestFit="1" customWidth="1"/>
    <col min="14" max="14" width="11.42578125" style="17" customWidth="1"/>
    <col min="15" max="16384" width="8.85546875" style="17"/>
  </cols>
  <sheetData>
    <row r="1" spans="1:14" ht="15.75" thickBot="1">
      <c r="A1" s="60" t="s">
        <v>0</v>
      </c>
      <c r="B1" s="35">
        <v>42370</v>
      </c>
      <c r="C1" s="35">
        <v>42401</v>
      </c>
      <c r="D1" s="35">
        <v>42430</v>
      </c>
      <c r="E1" s="35">
        <v>42461</v>
      </c>
      <c r="F1" s="35">
        <v>42491</v>
      </c>
      <c r="G1" s="35">
        <v>42522</v>
      </c>
      <c r="H1" s="35">
        <v>42552</v>
      </c>
      <c r="I1" s="35">
        <v>42583</v>
      </c>
      <c r="J1" s="35">
        <v>42614</v>
      </c>
      <c r="K1" s="35">
        <v>42644</v>
      </c>
      <c r="L1" s="35">
        <v>42675</v>
      </c>
      <c r="M1" s="35">
        <v>42705</v>
      </c>
      <c r="N1" s="36" t="s">
        <v>130</v>
      </c>
    </row>
    <row r="2" spans="1:14">
      <c r="A2" s="48"/>
      <c r="B2" s="32"/>
      <c r="C2" s="32"/>
      <c r="D2" s="32"/>
      <c r="E2" s="32"/>
      <c r="F2" s="32"/>
      <c r="G2" s="32"/>
      <c r="H2" s="32"/>
      <c r="I2" s="32"/>
      <c r="J2" s="32"/>
      <c r="K2" s="32"/>
      <c r="L2" s="32"/>
      <c r="M2" s="32"/>
      <c r="N2" s="80"/>
    </row>
    <row r="3" spans="1:14" ht="15.75" thickBot="1">
      <c r="A3" s="76" t="s">
        <v>51</v>
      </c>
      <c r="B3" s="32"/>
      <c r="C3" s="32"/>
      <c r="D3" s="32"/>
      <c r="E3" s="32"/>
      <c r="F3" s="32"/>
      <c r="G3" s="32"/>
      <c r="H3" s="32"/>
      <c r="I3" s="32"/>
      <c r="J3" s="32"/>
      <c r="K3" s="32"/>
      <c r="L3" s="32"/>
      <c r="M3" s="32"/>
      <c r="N3" s="80"/>
    </row>
    <row r="4" spans="1:14" ht="30" customHeight="1">
      <c r="A4" s="28" t="s">
        <v>55</v>
      </c>
      <c r="B4" s="105">
        <v>1892614</v>
      </c>
      <c r="C4" s="105">
        <v>1791225</v>
      </c>
      <c r="D4" s="105">
        <v>1875865</v>
      </c>
      <c r="E4" s="105">
        <v>1681471</v>
      </c>
      <c r="F4" s="105">
        <v>1574644</v>
      </c>
      <c r="G4" s="105">
        <v>1673595</v>
      </c>
      <c r="H4" s="105">
        <v>1898380</v>
      </c>
      <c r="I4" s="105">
        <v>1981117</v>
      </c>
      <c r="J4" s="105">
        <v>1803485</v>
      </c>
      <c r="K4" s="105">
        <v>1677890</v>
      </c>
      <c r="L4" s="105">
        <v>1679280</v>
      </c>
      <c r="M4" s="205">
        <v>1718675</v>
      </c>
      <c r="N4" s="107">
        <f>SUM(B4:M4)</f>
        <v>21248241</v>
      </c>
    </row>
    <row r="5" spans="1:14">
      <c r="A5" s="33" t="s">
        <v>2</v>
      </c>
      <c r="B5" s="107">
        <v>79460</v>
      </c>
      <c r="C5" s="107">
        <v>75053</v>
      </c>
      <c r="D5" s="107">
        <v>67348</v>
      </c>
      <c r="E5" s="107">
        <v>56406</v>
      </c>
      <c r="F5" s="107">
        <v>56252.16249525977</v>
      </c>
      <c r="G5" s="107">
        <v>54171.362343572247</v>
      </c>
      <c r="H5" s="34">
        <v>58517.642207053468</v>
      </c>
      <c r="I5" s="107">
        <v>64563</v>
      </c>
      <c r="J5" s="107">
        <v>58972</v>
      </c>
      <c r="K5" s="107">
        <v>54165</v>
      </c>
      <c r="L5" s="107">
        <v>61657</v>
      </c>
      <c r="M5" s="206">
        <v>68308</v>
      </c>
      <c r="N5" s="107">
        <f t="shared" ref="N5:N7" si="0">SUM(B5:M5)</f>
        <v>754873.16704588546</v>
      </c>
    </row>
    <row r="6" spans="1:14">
      <c r="A6" s="33" t="s">
        <v>57</v>
      </c>
      <c r="B6" s="107">
        <v>1022</v>
      </c>
      <c r="C6" s="107">
        <v>1103</v>
      </c>
      <c r="D6" s="107">
        <v>699</v>
      </c>
      <c r="E6" s="107">
        <f>60+413</f>
        <v>473</v>
      </c>
      <c r="F6" s="107">
        <v>222</v>
      </c>
      <c r="G6" s="107">
        <v>120</v>
      </c>
      <c r="H6" s="34">
        <v>70</v>
      </c>
      <c r="I6" s="107">
        <v>76</v>
      </c>
      <c r="J6" s="107">
        <v>119</v>
      </c>
      <c r="K6" s="107">
        <v>485</v>
      </c>
      <c r="L6" s="107">
        <v>885</v>
      </c>
      <c r="M6" s="206">
        <v>1496</v>
      </c>
      <c r="N6" s="107">
        <f t="shared" si="0"/>
        <v>6770</v>
      </c>
    </row>
    <row r="7" spans="1:14" ht="15.75" thickBot="1">
      <c r="A7" s="33" t="s">
        <v>58</v>
      </c>
      <c r="B7" s="156">
        <v>2352</v>
      </c>
      <c r="C7" s="156">
        <v>2644</v>
      </c>
      <c r="D7" s="156">
        <v>2446</v>
      </c>
      <c r="E7" s="156">
        <v>1912</v>
      </c>
      <c r="F7" s="156">
        <v>1228</v>
      </c>
      <c r="G7" s="156">
        <v>1019</v>
      </c>
      <c r="H7" s="156">
        <v>1018</v>
      </c>
      <c r="I7" s="156">
        <v>1151</v>
      </c>
      <c r="J7" s="156">
        <v>998</v>
      </c>
      <c r="K7" s="156">
        <v>1283</v>
      </c>
      <c r="L7" s="156">
        <v>1437</v>
      </c>
      <c r="M7" s="207">
        <f>2354/30*24</f>
        <v>1883.2</v>
      </c>
      <c r="N7" s="156">
        <f t="shared" si="0"/>
        <v>19371.2</v>
      </c>
    </row>
    <row r="8" spans="1:14" ht="18" customHeight="1" thickTop="1" thickBot="1">
      <c r="A8" s="73" t="s">
        <v>45</v>
      </c>
      <c r="B8" s="157">
        <f t="shared" ref="B8:N8" si="1">SUM(B4:B7)</f>
        <v>1975448</v>
      </c>
      <c r="C8" s="157">
        <f t="shared" si="1"/>
        <v>1870025</v>
      </c>
      <c r="D8" s="157">
        <f t="shared" si="1"/>
        <v>1946358</v>
      </c>
      <c r="E8" s="157">
        <f t="shared" si="1"/>
        <v>1740262</v>
      </c>
      <c r="F8" s="157">
        <f t="shared" si="1"/>
        <v>1632346.1624952597</v>
      </c>
      <c r="G8" s="157">
        <f t="shared" si="1"/>
        <v>1728905.3623435723</v>
      </c>
      <c r="H8" s="157">
        <f t="shared" si="1"/>
        <v>1957985.6422070535</v>
      </c>
      <c r="I8" s="157">
        <f t="shared" si="1"/>
        <v>2046907</v>
      </c>
      <c r="J8" s="157">
        <f t="shared" si="1"/>
        <v>1863574</v>
      </c>
      <c r="K8" s="157">
        <f t="shared" si="1"/>
        <v>1733823</v>
      </c>
      <c r="L8" s="157">
        <f t="shared" si="1"/>
        <v>1743259</v>
      </c>
      <c r="M8" s="157">
        <f t="shared" si="1"/>
        <v>1790362.2</v>
      </c>
      <c r="N8" s="160">
        <f t="shared" si="1"/>
        <v>22029255.367045883</v>
      </c>
    </row>
    <row r="9" spans="1:14">
      <c r="A9" s="48"/>
      <c r="B9" s="158"/>
      <c r="C9" s="158"/>
      <c r="D9" s="158"/>
      <c r="E9" s="158"/>
      <c r="F9" s="158"/>
      <c r="G9" s="158"/>
      <c r="H9" s="158"/>
      <c r="I9" s="158"/>
      <c r="J9" s="158"/>
      <c r="K9" s="158"/>
      <c r="L9" s="158"/>
      <c r="M9" s="158"/>
      <c r="N9" s="158"/>
    </row>
    <row r="10" spans="1:14" ht="15.75" thickBot="1">
      <c r="A10" s="76" t="s">
        <v>8</v>
      </c>
      <c r="B10" s="158"/>
      <c r="C10" s="158"/>
      <c r="D10" s="158"/>
      <c r="E10" s="158"/>
      <c r="F10" s="158"/>
      <c r="G10" s="158"/>
      <c r="H10" s="158"/>
      <c r="I10" s="158"/>
      <c r="J10" s="158"/>
      <c r="K10" s="158"/>
      <c r="L10" s="158"/>
      <c r="M10" s="158"/>
      <c r="N10" s="158"/>
    </row>
    <row r="11" spans="1:14">
      <c r="A11" s="86" t="s">
        <v>97</v>
      </c>
      <c r="B11" s="105">
        <v>910</v>
      </c>
      <c r="C11" s="105">
        <v>1000</v>
      </c>
      <c r="D11" s="105">
        <v>853</v>
      </c>
      <c r="E11" s="105">
        <v>870</v>
      </c>
      <c r="F11" s="105">
        <v>893</v>
      </c>
      <c r="G11" s="105">
        <v>1395</v>
      </c>
      <c r="H11" s="105">
        <v>1612</v>
      </c>
      <c r="I11" s="105">
        <v>1820</v>
      </c>
      <c r="J11" s="105">
        <v>1491</v>
      </c>
      <c r="K11" s="105">
        <v>1004</v>
      </c>
      <c r="L11" s="105">
        <v>800</v>
      </c>
      <c r="M11" s="208">
        <f>829+(870/30*8)</f>
        <v>1061</v>
      </c>
      <c r="N11" s="196">
        <f>SUM(B11:M11)</f>
        <v>13709</v>
      </c>
    </row>
    <row r="12" spans="1:14">
      <c r="A12" s="25" t="s">
        <v>98</v>
      </c>
      <c r="B12" s="107">
        <v>8368</v>
      </c>
      <c r="C12" s="107">
        <v>8904.7999999999993</v>
      </c>
      <c r="D12" s="107">
        <v>6098.92</v>
      </c>
      <c r="E12" s="107">
        <v>5087.5200000000004</v>
      </c>
      <c r="F12" s="107">
        <v>2190</v>
      </c>
      <c r="G12" s="107">
        <v>159</v>
      </c>
      <c r="H12" s="107">
        <v>0</v>
      </c>
      <c r="I12" s="107">
        <v>0</v>
      </c>
      <c r="J12" s="107">
        <v>0</v>
      </c>
      <c r="K12" s="107">
        <v>1320</v>
      </c>
      <c r="L12" s="107">
        <v>4120</v>
      </c>
      <c r="M12" s="34">
        <f>6720+(8320/30*8)</f>
        <v>8938.6666666666661</v>
      </c>
      <c r="N12" s="197">
        <f t="shared" ref="N12:N15" si="2">SUM(B12:M12)</f>
        <v>45186.906666666669</v>
      </c>
    </row>
    <row r="13" spans="1:14">
      <c r="A13" s="25" t="s">
        <v>85</v>
      </c>
      <c r="B13" s="107">
        <v>2999</v>
      </c>
      <c r="C13" s="107">
        <v>3473</v>
      </c>
      <c r="D13" s="107">
        <v>2956</v>
      </c>
      <c r="E13" s="107">
        <v>2520</v>
      </c>
      <c r="F13" s="178">
        <v>1374</v>
      </c>
      <c r="G13" s="178">
        <v>1082</v>
      </c>
      <c r="H13" s="178">
        <v>1066</v>
      </c>
      <c r="I13" s="178">
        <v>1397</v>
      </c>
      <c r="J13" s="178">
        <v>1191</v>
      </c>
      <c r="K13" s="178">
        <v>1497</v>
      </c>
      <c r="L13" s="178">
        <v>1853</v>
      </c>
      <c r="M13" s="34">
        <f>2370+(2804/30*8)</f>
        <v>3117.7333333333336</v>
      </c>
      <c r="N13" s="197">
        <f t="shared" si="2"/>
        <v>24525.733333333334</v>
      </c>
    </row>
    <row r="14" spans="1:14">
      <c r="A14" s="25" t="s">
        <v>99</v>
      </c>
      <c r="B14" s="107">
        <v>521</v>
      </c>
      <c r="C14" s="107">
        <v>424</v>
      </c>
      <c r="D14" s="107">
        <v>419</v>
      </c>
      <c r="E14" s="107">
        <v>507</v>
      </c>
      <c r="F14" s="107">
        <v>612</v>
      </c>
      <c r="G14" s="107">
        <v>594</v>
      </c>
      <c r="H14" s="107">
        <v>652</v>
      </c>
      <c r="I14" s="107">
        <v>777</v>
      </c>
      <c r="J14" s="107">
        <v>683</v>
      </c>
      <c r="K14" s="107">
        <v>553</v>
      </c>
      <c r="L14" s="107">
        <v>472</v>
      </c>
      <c r="M14" s="34">
        <f>373+(422/30*8)</f>
        <v>485.5333333333333</v>
      </c>
      <c r="N14" s="197">
        <f t="shared" si="2"/>
        <v>6699.5333333333328</v>
      </c>
    </row>
    <row r="15" spans="1:14" ht="15.75" thickBot="1">
      <c r="A15" s="25" t="s">
        <v>100</v>
      </c>
      <c r="B15" s="156">
        <f>110200</f>
        <v>110200</v>
      </c>
      <c r="C15" s="156">
        <v>120200</v>
      </c>
      <c r="D15" s="156">
        <v>84600</v>
      </c>
      <c r="E15" s="156">
        <v>77200</v>
      </c>
      <c r="F15" s="156">
        <v>43000</v>
      </c>
      <c r="G15" s="156">
        <v>29400</v>
      </c>
      <c r="H15" s="156">
        <v>31200</v>
      </c>
      <c r="I15" s="156">
        <v>37200</v>
      </c>
      <c r="J15" s="156">
        <v>33600</v>
      </c>
      <c r="K15" s="156">
        <v>40000</v>
      </c>
      <c r="L15" s="156">
        <v>64600</v>
      </c>
      <c r="M15" s="209">
        <f>94800+(112000/30*8)</f>
        <v>124666.66666666667</v>
      </c>
      <c r="N15" s="198">
        <f t="shared" si="2"/>
        <v>795866.66666666663</v>
      </c>
    </row>
    <row r="16" spans="1:14" ht="16.5" thickTop="1" thickBot="1">
      <c r="A16" s="79" t="s">
        <v>46</v>
      </c>
      <c r="B16" s="199">
        <f>SUM(B11:B15)</f>
        <v>122998</v>
      </c>
      <c r="C16" s="199">
        <f t="shared" ref="C16:N16" si="3">SUM(C11:C15)</f>
        <v>134001.79999999999</v>
      </c>
      <c r="D16" s="199">
        <f t="shared" si="3"/>
        <v>94926.92</v>
      </c>
      <c r="E16" s="199">
        <f t="shared" si="3"/>
        <v>86184.52</v>
      </c>
      <c r="F16" s="199">
        <f t="shared" si="3"/>
        <v>48069</v>
      </c>
      <c r="G16" s="199">
        <f t="shared" si="3"/>
        <v>32630</v>
      </c>
      <c r="H16" s="199">
        <f t="shared" si="3"/>
        <v>34530</v>
      </c>
      <c r="I16" s="199">
        <f t="shared" si="3"/>
        <v>41194</v>
      </c>
      <c r="J16" s="199">
        <f t="shared" si="3"/>
        <v>36965</v>
      </c>
      <c r="K16" s="199">
        <f t="shared" si="3"/>
        <v>44374</v>
      </c>
      <c r="L16" s="199">
        <f t="shared" si="3"/>
        <v>71845</v>
      </c>
      <c r="M16" s="199">
        <f t="shared" si="3"/>
        <v>138269.6</v>
      </c>
      <c r="N16" s="202">
        <f t="shared" si="3"/>
        <v>885987.83999999997</v>
      </c>
    </row>
    <row r="17" spans="1:14" ht="30.75" thickTop="1" thickBot="1">
      <c r="A17" s="73" t="s">
        <v>50</v>
      </c>
      <c r="B17" s="157">
        <f>B8+B16</f>
        <v>2098446</v>
      </c>
      <c r="C17" s="157">
        <f t="shared" ref="C17:M17" si="4">C8+C16</f>
        <v>2004026.8</v>
      </c>
      <c r="D17" s="157">
        <f t="shared" si="4"/>
        <v>2041284.92</v>
      </c>
      <c r="E17" s="157">
        <f t="shared" si="4"/>
        <v>1826446.52</v>
      </c>
      <c r="F17" s="157">
        <f t="shared" si="4"/>
        <v>1680415.1624952597</v>
      </c>
      <c r="G17" s="157">
        <f t="shared" si="4"/>
        <v>1761535.3623435723</v>
      </c>
      <c r="H17" s="157">
        <f t="shared" si="4"/>
        <v>1992515.6422070535</v>
      </c>
      <c r="I17" s="157">
        <f t="shared" si="4"/>
        <v>2088101</v>
      </c>
      <c r="J17" s="157">
        <f t="shared" si="4"/>
        <v>1900539</v>
      </c>
      <c r="K17" s="157">
        <f t="shared" si="4"/>
        <v>1778197</v>
      </c>
      <c r="L17" s="157">
        <f t="shared" si="4"/>
        <v>1815104</v>
      </c>
      <c r="M17" s="157">
        <f t="shared" si="4"/>
        <v>1928631.8</v>
      </c>
      <c r="N17" s="160">
        <f>N8+N16</f>
        <v>22915243.207045883</v>
      </c>
    </row>
    <row r="18" spans="1:14" ht="15.75" thickBot="1">
      <c r="A18" s="74"/>
      <c r="B18" s="159"/>
      <c r="C18" s="159"/>
      <c r="D18" s="159"/>
      <c r="E18" s="159"/>
      <c r="F18" s="159"/>
      <c r="G18" s="159"/>
      <c r="H18" s="159"/>
      <c r="I18" s="159"/>
      <c r="J18" s="159"/>
      <c r="K18" s="159"/>
      <c r="L18" s="159"/>
      <c r="M18" s="159"/>
      <c r="N18" s="159"/>
    </row>
    <row r="19" spans="1:14" ht="15.75" thickBot="1">
      <c r="A19" s="60" t="s">
        <v>20</v>
      </c>
      <c r="B19" s="188">
        <v>48715.72</v>
      </c>
      <c r="C19" s="188">
        <v>45832.19</v>
      </c>
      <c r="D19" s="188">
        <v>49615.59</v>
      </c>
      <c r="E19" s="188">
        <v>43272.35</v>
      </c>
      <c r="F19" s="188">
        <v>42132.24</v>
      </c>
      <c r="G19" s="188">
        <v>44944.83</v>
      </c>
      <c r="H19" s="188">
        <v>49555.92</v>
      </c>
      <c r="I19" s="188">
        <v>85840.75</v>
      </c>
      <c r="J19" s="188">
        <v>28264.89</v>
      </c>
      <c r="K19" s="188">
        <v>39600</v>
      </c>
      <c r="L19" s="188">
        <v>43500</v>
      </c>
      <c r="M19" s="188">
        <f>43500+(46500/34*24)</f>
        <v>76323.529411764699</v>
      </c>
      <c r="N19" s="189">
        <f>SUM(B19:M19)</f>
        <v>597598.00941176468</v>
      </c>
    </row>
    <row r="20" spans="1:14" ht="15.75" thickBot="1">
      <c r="B20" s="159"/>
      <c r="C20" s="159"/>
      <c r="D20" s="159"/>
      <c r="E20" s="159"/>
      <c r="F20" s="159"/>
      <c r="G20" s="159"/>
      <c r="H20" s="159"/>
      <c r="I20" s="159"/>
      <c r="J20" s="159"/>
      <c r="K20" s="159"/>
      <c r="L20" s="159"/>
      <c r="M20" s="159"/>
      <c r="N20" s="159"/>
    </row>
    <row r="21" spans="1:14" ht="15.75" thickBot="1">
      <c r="A21" s="18" t="s">
        <v>52</v>
      </c>
      <c r="B21" s="200">
        <f>B17+B19</f>
        <v>2147161.7200000002</v>
      </c>
      <c r="C21" s="200">
        <f t="shared" ref="C21:N21" si="5">C17+C19</f>
        <v>2049858.99</v>
      </c>
      <c r="D21" s="200">
        <f t="shared" si="5"/>
        <v>2090900.51</v>
      </c>
      <c r="E21" s="200">
        <f t="shared" si="5"/>
        <v>1869718.87</v>
      </c>
      <c r="F21" s="200">
        <f t="shared" si="5"/>
        <v>1722547.4024952597</v>
      </c>
      <c r="G21" s="200">
        <f t="shared" si="5"/>
        <v>1806480.1923435724</v>
      </c>
      <c r="H21" s="200">
        <f t="shared" si="5"/>
        <v>2042071.5622070534</v>
      </c>
      <c r="I21" s="200">
        <f t="shared" si="5"/>
        <v>2173941.75</v>
      </c>
      <c r="J21" s="200">
        <f t="shared" si="5"/>
        <v>1928803.89</v>
      </c>
      <c r="K21" s="200">
        <f t="shared" si="5"/>
        <v>1817797</v>
      </c>
      <c r="L21" s="200">
        <f t="shared" si="5"/>
        <v>1858604</v>
      </c>
      <c r="M21" s="200">
        <f t="shared" si="5"/>
        <v>2004955.3294117646</v>
      </c>
      <c r="N21" s="201">
        <f t="shared" si="5"/>
        <v>23512841.216457646</v>
      </c>
    </row>
    <row r="22" spans="1:14">
      <c r="A22" s="17" t="s">
        <v>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9"/>
  <sheetViews>
    <sheetView showGridLines="0" workbookViewId="0">
      <selection activeCell="N5" sqref="N5"/>
    </sheetView>
  </sheetViews>
  <sheetFormatPr defaultColWidth="8.85546875" defaultRowHeight="15"/>
  <cols>
    <col min="1" max="1" width="26.28515625" style="17" customWidth="1"/>
    <col min="2" max="13" width="10.7109375" style="17" bestFit="1" customWidth="1"/>
    <col min="14" max="14" width="11.85546875" style="17" customWidth="1"/>
    <col min="15" max="16384" width="8.85546875" style="17"/>
  </cols>
  <sheetData>
    <row r="1" spans="1:14" ht="15.75" thickBot="1">
      <c r="A1" s="66" t="s">
        <v>0</v>
      </c>
      <c r="B1" s="35">
        <v>42736</v>
      </c>
      <c r="C1" s="35">
        <v>42767</v>
      </c>
      <c r="D1" s="35">
        <v>42795</v>
      </c>
      <c r="E1" s="35">
        <v>42826</v>
      </c>
      <c r="F1" s="35">
        <v>42856</v>
      </c>
      <c r="G1" s="35">
        <v>42887</v>
      </c>
      <c r="H1" s="35">
        <v>42917</v>
      </c>
      <c r="I1" s="35">
        <v>42948</v>
      </c>
      <c r="J1" s="35">
        <v>42979</v>
      </c>
      <c r="K1" s="35">
        <v>43009</v>
      </c>
      <c r="L1" s="35">
        <v>43040</v>
      </c>
      <c r="M1" s="35">
        <v>43070</v>
      </c>
      <c r="N1" s="36" t="s">
        <v>130</v>
      </c>
    </row>
    <row r="2" spans="1:14">
      <c r="A2" s="19"/>
      <c r="B2" s="32"/>
      <c r="C2" s="32"/>
      <c r="D2" s="32"/>
      <c r="E2" s="32"/>
      <c r="F2" s="32"/>
      <c r="G2" s="32"/>
      <c r="H2" s="32"/>
      <c r="I2" s="32"/>
      <c r="J2" s="32"/>
      <c r="K2" s="32"/>
      <c r="L2" s="32"/>
      <c r="M2" s="32"/>
      <c r="N2" s="19"/>
    </row>
    <row r="3" spans="1:14" ht="15.75" thickBot="1">
      <c r="A3" s="21" t="s">
        <v>1</v>
      </c>
      <c r="B3" s="32"/>
      <c r="C3" s="32"/>
      <c r="D3" s="32"/>
      <c r="E3" s="32"/>
      <c r="F3" s="32"/>
      <c r="G3" s="32"/>
      <c r="H3" s="32"/>
      <c r="I3" s="32"/>
      <c r="J3" s="32"/>
      <c r="K3" s="32"/>
      <c r="L3" s="32"/>
      <c r="M3" s="32"/>
      <c r="N3" s="19"/>
    </row>
    <row r="4" spans="1:14" ht="30" customHeight="1">
      <c r="A4" s="28" t="s">
        <v>55</v>
      </c>
      <c r="B4" s="14">
        <v>1776935</v>
      </c>
      <c r="C4" s="14">
        <v>1577179</v>
      </c>
      <c r="D4" s="14">
        <v>1785123</v>
      </c>
      <c r="E4" s="14">
        <v>1566299</v>
      </c>
      <c r="F4" s="14">
        <v>1440306</v>
      </c>
      <c r="G4" s="14">
        <v>1479782</v>
      </c>
      <c r="H4" s="14">
        <v>1602093</v>
      </c>
      <c r="I4" s="14">
        <v>1528692</v>
      </c>
      <c r="J4" s="14">
        <v>1639891</v>
      </c>
      <c r="K4" s="14">
        <v>1574524</v>
      </c>
      <c r="L4" s="14">
        <v>1556893</v>
      </c>
      <c r="M4" s="14">
        <v>1650084</v>
      </c>
      <c r="N4" s="87">
        <f>SUM(B4:M4)</f>
        <v>19177801</v>
      </c>
    </row>
    <row r="5" spans="1:14">
      <c r="A5" s="33" t="s">
        <v>2</v>
      </c>
      <c r="B5" s="15">
        <v>68308</v>
      </c>
      <c r="C5" s="15">
        <v>72326</v>
      </c>
      <c r="D5" s="15">
        <v>66990</v>
      </c>
      <c r="E5" s="15">
        <v>64034</v>
      </c>
      <c r="F5" s="15">
        <v>44364</v>
      </c>
      <c r="G5" s="15">
        <v>43294</v>
      </c>
      <c r="H5" s="15">
        <v>41760</v>
      </c>
      <c r="I5" s="15">
        <v>48593</v>
      </c>
      <c r="J5" s="15">
        <v>48354</v>
      </c>
      <c r="K5" s="15">
        <v>51453</v>
      </c>
      <c r="L5" s="15">
        <v>46093</v>
      </c>
      <c r="M5" s="15">
        <v>54403</v>
      </c>
      <c r="N5" s="88">
        <f t="shared" ref="N5:N10" si="0">SUM(B5:M5)</f>
        <v>649972</v>
      </c>
    </row>
    <row r="6" spans="1:14">
      <c r="A6" s="33" t="s">
        <v>57</v>
      </c>
      <c r="B6" s="15">
        <v>1302</v>
      </c>
      <c r="C6" s="15">
        <v>1015</v>
      </c>
      <c r="D6" s="17">
        <v>988</v>
      </c>
      <c r="E6" s="15">
        <v>486</v>
      </c>
      <c r="F6" s="15">
        <v>315</v>
      </c>
      <c r="G6" s="15">
        <v>125</v>
      </c>
      <c r="H6" s="15">
        <v>99</v>
      </c>
      <c r="I6" s="15">
        <v>149</v>
      </c>
      <c r="J6" s="15">
        <v>199</v>
      </c>
      <c r="K6" s="15">
        <v>494</v>
      </c>
      <c r="L6" s="15">
        <v>771</v>
      </c>
      <c r="M6" s="15">
        <v>1261</v>
      </c>
      <c r="N6" s="88">
        <f>SUM(B6:M6)</f>
        <v>7204</v>
      </c>
    </row>
    <row r="7" spans="1:14">
      <c r="A7" s="33" t="s">
        <v>58</v>
      </c>
      <c r="B7" s="15">
        <v>2354</v>
      </c>
      <c r="C7" s="15">
        <v>2200</v>
      </c>
      <c r="D7" s="15">
        <v>2375</v>
      </c>
      <c r="E7" s="15">
        <v>1470</v>
      </c>
      <c r="F7" s="15">
        <v>1112</v>
      </c>
      <c r="G7" s="15">
        <v>993</v>
      </c>
      <c r="H7" s="15">
        <v>821</v>
      </c>
      <c r="I7" s="15">
        <v>862</v>
      </c>
      <c r="J7" s="15">
        <v>978</v>
      </c>
      <c r="K7" s="15">
        <v>1314</v>
      </c>
      <c r="L7" s="15">
        <v>2030</v>
      </c>
      <c r="M7" s="15">
        <v>2552</v>
      </c>
      <c r="N7" s="88">
        <f t="shared" si="0"/>
        <v>19061</v>
      </c>
    </row>
    <row r="8" spans="1:14">
      <c r="A8" s="25" t="s">
        <v>60</v>
      </c>
      <c r="B8" s="15" t="s">
        <v>42</v>
      </c>
      <c r="C8" s="15" t="s">
        <v>42</v>
      </c>
      <c r="D8" s="15" t="s">
        <v>42</v>
      </c>
      <c r="E8" s="15" t="s">
        <v>42</v>
      </c>
      <c r="F8" s="15">
        <v>132</v>
      </c>
      <c r="G8" s="15">
        <v>136</v>
      </c>
      <c r="H8" s="15">
        <v>226</v>
      </c>
      <c r="I8" s="15">
        <v>155.85560000000001</v>
      </c>
      <c r="J8" s="15">
        <v>431.57279999999997</v>
      </c>
      <c r="K8" s="15">
        <v>405.33300000000003</v>
      </c>
      <c r="L8" s="15">
        <v>582</v>
      </c>
      <c r="M8" s="15">
        <v>1100</v>
      </c>
      <c r="N8" s="88">
        <f t="shared" si="0"/>
        <v>3168.7614000000003</v>
      </c>
    </row>
    <row r="9" spans="1:14" ht="15.75" thickBot="1">
      <c r="A9" s="25" t="s">
        <v>7</v>
      </c>
      <c r="B9" s="16" t="s">
        <v>42</v>
      </c>
      <c r="C9" s="16" t="s">
        <v>42</v>
      </c>
      <c r="D9" s="16" t="s">
        <v>42</v>
      </c>
      <c r="E9" s="16" t="s">
        <v>42</v>
      </c>
      <c r="F9" s="16">
        <v>330</v>
      </c>
      <c r="G9" s="16">
        <v>308</v>
      </c>
      <c r="H9" s="16">
        <v>268</v>
      </c>
      <c r="I9" s="16">
        <v>269</v>
      </c>
      <c r="J9" s="16">
        <v>356</v>
      </c>
      <c r="K9" s="16">
        <v>337</v>
      </c>
      <c r="L9" s="16">
        <v>1145</v>
      </c>
      <c r="M9" s="16">
        <v>582</v>
      </c>
      <c r="N9" s="145">
        <f t="shared" si="0"/>
        <v>3595</v>
      </c>
    </row>
    <row r="10" spans="1:14" ht="16.5" thickTop="1" thickBot="1">
      <c r="A10" s="64" t="s">
        <v>45</v>
      </c>
      <c r="B10" s="69">
        <f>SUM(B4:B9)</f>
        <v>1848899</v>
      </c>
      <c r="C10" s="69">
        <f t="shared" ref="C10:M10" si="1">SUM(C4:C9)</f>
        <v>1652720</v>
      </c>
      <c r="D10" s="69">
        <f t="shared" si="1"/>
        <v>1855476</v>
      </c>
      <c r="E10" s="69">
        <f t="shared" si="1"/>
        <v>1632289</v>
      </c>
      <c r="F10" s="69">
        <f t="shared" si="1"/>
        <v>1486559</v>
      </c>
      <c r="G10" s="69">
        <f t="shared" si="1"/>
        <v>1524638</v>
      </c>
      <c r="H10" s="69">
        <f t="shared" si="1"/>
        <v>1645267</v>
      </c>
      <c r="I10" s="69">
        <f t="shared" si="1"/>
        <v>1578720.8555999999</v>
      </c>
      <c r="J10" s="69">
        <f t="shared" si="1"/>
        <v>1690209.5728</v>
      </c>
      <c r="K10" s="69">
        <f t="shared" si="1"/>
        <v>1628527.3330000001</v>
      </c>
      <c r="L10" s="69">
        <f t="shared" si="1"/>
        <v>1607514</v>
      </c>
      <c r="M10" s="69">
        <f t="shared" si="1"/>
        <v>1709982</v>
      </c>
      <c r="N10" s="155">
        <f t="shared" si="0"/>
        <v>19860801.761399999</v>
      </c>
    </row>
    <row r="11" spans="1:14">
      <c r="A11" s="21"/>
      <c r="B11" s="159"/>
      <c r="C11" s="159"/>
      <c r="D11" s="159"/>
      <c r="E11" s="159"/>
      <c r="F11" s="159"/>
      <c r="G11" s="159"/>
      <c r="H11" s="159"/>
      <c r="I11" s="159"/>
      <c r="J11" s="159"/>
      <c r="K11" s="159"/>
      <c r="L11" s="159"/>
      <c r="M11" s="159"/>
      <c r="N11" s="159"/>
    </row>
    <row r="12" spans="1:14" ht="15.75" thickBot="1">
      <c r="A12" s="21" t="s">
        <v>53</v>
      </c>
      <c r="B12" s="159"/>
      <c r="C12" s="159"/>
      <c r="D12" s="159"/>
      <c r="E12" s="159"/>
      <c r="F12" s="159"/>
      <c r="G12" s="159"/>
      <c r="H12" s="159"/>
      <c r="I12" s="159"/>
      <c r="J12" s="159"/>
      <c r="K12" s="159"/>
      <c r="L12" s="159"/>
      <c r="M12" s="159"/>
      <c r="N12" s="159"/>
    </row>
    <row r="13" spans="1:14">
      <c r="A13" s="86" t="s">
        <v>94</v>
      </c>
      <c r="B13" s="105" t="s">
        <v>42</v>
      </c>
      <c r="C13" s="105" t="s">
        <v>42</v>
      </c>
      <c r="D13" s="105" t="s">
        <v>42</v>
      </c>
      <c r="E13" s="105">
        <v>470</v>
      </c>
      <c r="F13" s="105">
        <v>830</v>
      </c>
      <c r="G13" s="105">
        <v>3630</v>
      </c>
      <c r="H13" s="105">
        <v>500</v>
      </c>
      <c r="I13" s="105">
        <v>1530</v>
      </c>
      <c r="J13" s="105">
        <v>1820</v>
      </c>
      <c r="K13" s="105">
        <v>1530</v>
      </c>
      <c r="L13" s="105">
        <v>1740</v>
      </c>
      <c r="M13" s="105">
        <v>1690</v>
      </c>
      <c r="N13" s="196">
        <f>SUM(B13:M13)</f>
        <v>13740</v>
      </c>
    </row>
    <row r="14" spans="1:14">
      <c r="A14" s="25" t="s">
        <v>95</v>
      </c>
      <c r="B14" s="107" t="s">
        <v>42</v>
      </c>
      <c r="C14" s="107" t="s">
        <v>42</v>
      </c>
      <c r="D14" s="107" t="s">
        <v>42</v>
      </c>
      <c r="E14" s="107">
        <v>1210</v>
      </c>
      <c r="F14" s="107">
        <v>300</v>
      </c>
      <c r="G14" s="107">
        <v>6510</v>
      </c>
      <c r="H14" s="107">
        <v>250</v>
      </c>
      <c r="I14" s="107">
        <v>1590</v>
      </c>
      <c r="J14" s="107">
        <v>1890</v>
      </c>
      <c r="K14" s="107">
        <v>1580</v>
      </c>
      <c r="L14" s="107">
        <v>1810</v>
      </c>
      <c r="M14" s="107">
        <v>1760</v>
      </c>
      <c r="N14" s="197">
        <f t="shared" ref="N14:N15" si="2">SUM(B14:M14)</f>
        <v>16900</v>
      </c>
    </row>
    <row r="15" spans="1:14" ht="15.75" thickBot="1">
      <c r="A15" s="25" t="s">
        <v>96</v>
      </c>
      <c r="B15" s="156" t="s">
        <v>42</v>
      </c>
      <c r="C15" s="156" t="s">
        <v>42</v>
      </c>
      <c r="D15" s="156">
        <v>5921</v>
      </c>
      <c r="E15" s="156">
        <v>7520</v>
      </c>
      <c r="F15" s="156">
        <v>7520</v>
      </c>
      <c r="G15" s="156">
        <v>8000</v>
      </c>
      <c r="H15" s="156">
        <v>21520</v>
      </c>
      <c r="I15" s="156">
        <v>11760</v>
      </c>
      <c r="J15" s="156">
        <v>11360</v>
      </c>
      <c r="K15" s="156">
        <v>8160</v>
      </c>
      <c r="L15" s="156">
        <v>7920</v>
      </c>
      <c r="M15" s="156">
        <v>7920</v>
      </c>
      <c r="N15" s="198">
        <f t="shared" si="2"/>
        <v>97601</v>
      </c>
    </row>
    <row r="16" spans="1:14" ht="16.5" thickTop="1" thickBot="1">
      <c r="A16" s="64" t="s">
        <v>56</v>
      </c>
      <c r="B16" s="157">
        <f>SUM(B13:B15)</f>
        <v>0</v>
      </c>
      <c r="C16" s="157">
        <f t="shared" ref="C16:N16" si="3">SUM(C13:C15)</f>
        <v>0</v>
      </c>
      <c r="D16" s="157">
        <f t="shared" si="3"/>
        <v>5921</v>
      </c>
      <c r="E16" s="157">
        <f t="shared" si="3"/>
        <v>9200</v>
      </c>
      <c r="F16" s="157">
        <f t="shared" si="3"/>
        <v>8650</v>
      </c>
      <c r="G16" s="157">
        <f t="shared" si="3"/>
        <v>18140</v>
      </c>
      <c r="H16" s="157">
        <f t="shared" si="3"/>
        <v>22270</v>
      </c>
      <c r="I16" s="157">
        <f t="shared" si="3"/>
        <v>14880</v>
      </c>
      <c r="J16" s="157">
        <f t="shared" si="3"/>
        <v>15070</v>
      </c>
      <c r="K16" s="157">
        <f t="shared" si="3"/>
        <v>11270</v>
      </c>
      <c r="L16" s="157">
        <f t="shared" si="3"/>
        <v>11470</v>
      </c>
      <c r="M16" s="157">
        <f t="shared" si="3"/>
        <v>11370</v>
      </c>
      <c r="N16" s="157">
        <f t="shared" si="3"/>
        <v>128241</v>
      </c>
    </row>
    <row r="17" spans="1:15">
      <c r="A17" s="21"/>
      <c r="B17" s="159"/>
      <c r="C17" s="159"/>
      <c r="D17" s="159"/>
      <c r="E17" s="159"/>
      <c r="F17" s="159"/>
      <c r="G17" s="159"/>
      <c r="H17" s="159"/>
      <c r="I17" s="159"/>
      <c r="J17" s="159"/>
      <c r="K17" s="159"/>
      <c r="L17" s="159"/>
      <c r="M17" s="159"/>
      <c r="N17" s="159"/>
    </row>
    <row r="18" spans="1:15" ht="15.75" thickBot="1">
      <c r="A18" s="21" t="s">
        <v>8</v>
      </c>
      <c r="B18" s="159"/>
      <c r="C18" s="159"/>
      <c r="D18" s="159"/>
      <c r="E18" s="159"/>
      <c r="F18" s="159"/>
      <c r="G18" s="159"/>
      <c r="H18" s="159"/>
      <c r="I18" s="159"/>
      <c r="J18" s="159"/>
      <c r="K18" s="159"/>
      <c r="L18" s="159"/>
      <c r="M18" s="159"/>
      <c r="N18" s="159"/>
    </row>
    <row r="19" spans="1:15">
      <c r="A19" s="86" t="s">
        <v>97</v>
      </c>
      <c r="B19" s="105">
        <v>829</v>
      </c>
      <c r="C19" s="105">
        <v>870</v>
      </c>
      <c r="D19" s="105">
        <v>826</v>
      </c>
      <c r="E19" s="105">
        <v>802</v>
      </c>
      <c r="F19" s="105">
        <v>791</v>
      </c>
      <c r="G19" s="105">
        <v>867</v>
      </c>
      <c r="H19" s="105">
        <v>1369</v>
      </c>
      <c r="I19" s="105">
        <v>1037</v>
      </c>
      <c r="J19" s="105">
        <v>776</v>
      </c>
      <c r="K19" s="105">
        <v>752</v>
      </c>
      <c r="L19" s="105">
        <v>718</v>
      </c>
      <c r="M19" s="105">
        <v>679</v>
      </c>
      <c r="N19" s="196">
        <f>SUM(B19:M19)</f>
        <v>10316</v>
      </c>
    </row>
    <row r="20" spans="1:15">
      <c r="A20" s="25" t="s">
        <v>98</v>
      </c>
      <c r="B20" s="107">
        <v>6720</v>
      </c>
      <c r="C20" s="107">
        <v>8320</v>
      </c>
      <c r="D20" s="107">
        <v>7080</v>
      </c>
      <c r="E20" s="107">
        <v>4000</v>
      </c>
      <c r="F20" s="107">
        <v>1840</v>
      </c>
      <c r="G20" s="107">
        <v>280</v>
      </c>
      <c r="H20" s="107">
        <v>0</v>
      </c>
      <c r="I20" s="107">
        <v>0</v>
      </c>
      <c r="J20" s="107">
        <v>40</v>
      </c>
      <c r="K20" s="107">
        <v>520</v>
      </c>
      <c r="L20" s="107">
        <v>4640</v>
      </c>
      <c r="M20" s="107">
        <v>6640</v>
      </c>
      <c r="N20" s="197">
        <f t="shared" ref="N20:N23" si="4">SUM(B20:M20)</f>
        <v>40080</v>
      </c>
    </row>
    <row r="21" spans="1:15">
      <c r="A21" s="25" t="s">
        <v>85</v>
      </c>
      <c r="B21" s="107">
        <v>2370</v>
      </c>
      <c r="C21" s="107">
        <v>2804</v>
      </c>
      <c r="D21" s="107">
        <v>2380</v>
      </c>
      <c r="E21" s="107">
        <v>1690</v>
      </c>
      <c r="F21" s="107">
        <v>1051</v>
      </c>
      <c r="G21" s="107">
        <v>1051</v>
      </c>
      <c r="H21" s="107">
        <v>891</v>
      </c>
      <c r="I21" s="107">
        <v>745</v>
      </c>
      <c r="J21" s="107">
        <v>917</v>
      </c>
      <c r="K21" s="107">
        <v>946</v>
      </c>
      <c r="L21" s="107">
        <v>1825</v>
      </c>
      <c r="M21" s="107">
        <v>2412</v>
      </c>
      <c r="N21" s="197">
        <f t="shared" si="4"/>
        <v>19082</v>
      </c>
    </row>
    <row r="22" spans="1:15">
      <c r="A22" s="25" t="s">
        <v>99</v>
      </c>
      <c r="B22" s="107">
        <v>373</v>
      </c>
      <c r="C22" s="107">
        <v>422</v>
      </c>
      <c r="D22" s="107">
        <v>336</v>
      </c>
      <c r="E22" s="107">
        <v>516</v>
      </c>
      <c r="F22" s="107">
        <v>518</v>
      </c>
      <c r="G22" s="107">
        <v>484</v>
      </c>
      <c r="H22" s="107">
        <v>596</v>
      </c>
      <c r="I22" s="107">
        <v>532</v>
      </c>
      <c r="J22" s="107">
        <v>513</v>
      </c>
      <c r="K22" s="107">
        <v>538</v>
      </c>
      <c r="L22" s="107">
        <v>482</v>
      </c>
      <c r="M22" s="107">
        <v>460</v>
      </c>
      <c r="N22" s="197">
        <f t="shared" si="4"/>
        <v>5770</v>
      </c>
    </row>
    <row r="23" spans="1:15" ht="15.75" thickBot="1">
      <c r="A23" s="25" t="s">
        <v>100</v>
      </c>
      <c r="B23" s="156">
        <v>94800</v>
      </c>
      <c r="C23" s="156">
        <v>112000</v>
      </c>
      <c r="D23" s="156">
        <v>106800</v>
      </c>
      <c r="E23" s="156">
        <v>69600</v>
      </c>
      <c r="F23" s="156">
        <v>41600</v>
      </c>
      <c r="G23" s="156">
        <v>22800</v>
      </c>
      <c r="H23" s="156">
        <v>24200</v>
      </c>
      <c r="I23" s="156">
        <v>23600</v>
      </c>
      <c r="J23" s="156">
        <v>29800</v>
      </c>
      <c r="K23" s="156">
        <v>36600</v>
      </c>
      <c r="L23" s="156">
        <v>70600</v>
      </c>
      <c r="M23" s="156">
        <v>91800</v>
      </c>
      <c r="N23" s="198">
        <f t="shared" si="4"/>
        <v>724200</v>
      </c>
    </row>
    <row r="24" spans="1:15" ht="16.5" thickTop="1" thickBot="1">
      <c r="A24" s="72" t="s">
        <v>46</v>
      </c>
      <c r="B24" s="199">
        <f>SUM(B19:B23)</f>
        <v>105092</v>
      </c>
      <c r="C24" s="199">
        <f t="shared" ref="C24:M24" si="5">SUM(C19:C23)</f>
        <v>124416</v>
      </c>
      <c r="D24" s="199">
        <f t="shared" si="5"/>
        <v>117422</v>
      </c>
      <c r="E24" s="199">
        <f t="shared" si="5"/>
        <v>76608</v>
      </c>
      <c r="F24" s="199">
        <f t="shared" si="5"/>
        <v>45800</v>
      </c>
      <c r="G24" s="199">
        <f t="shared" si="5"/>
        <v>25482</v>
      </c>
      <c r="H24" s="199">
        <f t="shared" si="5"/>
        <v>27056</v>
      </c>
      <c r="I24" s="199">
        <f t="shared" si="5"/>
        <v>25914</v>
      </c>
      <c r="J24" s="199">
        <f t="shared" si="5"/>
        <v>32046</v>
      </c>
      <c r="K24" s="199">
        <f t="shared" si="5"/>
        <v>39356</v>
      </c>
      <c r="L24" s="199">
        <f t="shared" si="5"/>
        <v>78265</v>
      </c>
      <c r="M24" s="199">
        <f t="shared" si="5"/>
        <v>101991</v>
      </c>
      <c r="N24" s="202">
        <f>SUM(N19:N23)</f>
        <v>799448</v>
      </c>
    </row>
    <row r="25" spans="1:15" ht="33.75" customHeight="1" thickTop="1" thickBot="1">
      <c r="A25" s="73" t="s">
        <v>54</v>
      </c>
      <c r="B25" s="157">
        <f t="shared" ref="B25:N25" si="6">B10+B16+B24</f>
        <v>1953991</v>
      </c>
      <c r="C25" s="157">
        <f t="shared" si="6"/>
        <v>1777136</v>
      </c>
      <c r="D25" s="157">
        <f t="shared" si="6"/>
        <v>1978819</v>
      </c>
      <c r="E25" s="157">
        <f t="shared" si="6"/>
        <v>1718097</v>
      </c>
      <c r="F25" s="157">
        <f t="shared" si="6"/>
        <v>1541009</v>
      </c>
      <c r="G25" s="157">
        <f t="shared" si="6"/>
        <v>1568260</v>
      </c>
      <c r="H25" s="157">
        <f t="shared" si="6"/>
        <v>1694593</v>
      </c>
      <c r="I25" s="157">
        <f t="shared" si="6"/>
        <v>1619514.8555999999</v>
      </c>
      <c r="J25" s="157">
        <f t="shared" si="6"/>
        <v>1737325.5728</v>
      </c>
      <c r="K25" s="157">
        <f t="shared" si="6"/>
        <v>1679153.3330000001</v>
      </c>
      <c r="L25" s="157">
        <f t="shared" si="6"/>
        <v>1697249</v>
      </c>
      <c r="M25" s="157">
        <f t="shared" si="6"/>
        <v>1823343</v>
      </c>
      <c r="N25" s="160">
        <f t="shared" si="6"/>
        <v>20788490.761399999</v>
      </c>
    </row>
    <row r="26" spans="1:15" ht="15.75" thickBot="1">
      <c r="A26" s="21"/>
      <c r="B26" s="159"/>
      <c r="C26" s="159"/>
      <c r="D26" s="159"/>
      <c r="E26" s="159"/>
      <c r="F26" s="159"/>
      <c r="G26" s="159"/>
      <c r="H26" s="159"/>
      <c r="I26" s="159"/>
      <c r="J26" s="159"/>
      <c r="K26" s="159"/>
      <c r="L26" s="159"/>
      <c r="M26" s="159"/>
      <c r="N26" s="159"/>
    </row>
    <row r="27" spans="1:15" ht="15.75" thickBot="1">
      <c r="A27" s="66" t="s">
        <v>20</v>
      </c>
      <c r="B27" s="188">
        <v>46500</v>
      </c>
      <c r="C27" s="188">
        <v>45900</v>
      </c>
      <c r="D27" s="188">
        <v>40200</v>
      </c>
      <c r="E27" s="188">
        <v>47400</v>
      </c>
      <c r="F27" s="188">
        <v>42900</v>
      </c>
      <c r="G27" s="188">
        <v>33900</v>
      </c>
      <c r="H27" s="188">
        <v>38100</v>
      </c>
      <c r="I27" s="188">
        <v>37200</v>
      </c>
      <c r="J27" s="188">
        <v>35100</v>
      </c>
      <c r="K27" s="188">
        <v>47700</v>
      </c>
      <c r="L27" s="188">
        <v>38700</v>
      </c>
      <c r="M27" s="188">
        <v>35400</v>
      </c>
      <c r="N27" s="189">
        <f>SUM(B27:M27)</f>
        <v>489000</v>
      </c>
      <c r="O27" s="17">
        <f>N27/N29</f>
        <v>2.2982033242712363E-2</v>
      </c>
    </row>
    <row r="28" spans="1:15" ht="15.75" thickBot="1">
      <c r="B28" s="159"/>
      <c r="C28" s="159"/>
      <c r="D28" s="159"/>
      <c r="E28" s="159"/>
      <c r="F28" s="159"/>
      <c r="G28" s="159"/>
      <c r="H28" s="159"/>
      <c r="I28" s="159"/>
      <c r="J28" s="159"/>
      <c r="K28" s="159"/>
      <c r="L28" s="159"/>
      <c r="M28" s="159"/>
      <c r="N28" s="159"/>
    </row>
    <row r="29" spans="1:15" ht="15.75" thickBot="1">
      <c r="A29" s="18" t="s">
        <v>48</v>
      </c>
      <c r="B29" s="200">
        <f>B25+B27</f>
        <v>2000491</v>
      </c>
      <c r="C29" s="200">
        <f t="shared" ref="C29:N29" si="7">C25+C27</f>
        <v>1823036</v>
      </c>
      <c r="D29" s="200">
        <f t="shared" si="7"/>
        <v>2019019</v>
      </c>
      <c r="E29" s="200">
        <f t="shared" si="7"/>
        <v>1765497</v>
      </c>
      <c r="F29" s="200">
        <f t="shared" si="7"/>
        <v>1583909</v>
      </c>
      <c r="G29" s="200">
        <f t="shared" si="7"/>
        <v>1602160</v>
      </c>
      <c r="H29" s="200">
        <f t="shared" si="7"/>
        <v>1732693</v>
      </c>
      <c r="I29" s="200">
        <f t="shared" si="7"/>
        <v>1656714.8555999999</v>
      </c>
      <c r="J29" s="200">
        <f t="shared" si="7"/>
        <v>1772425.5728</v>
      </c>
      <c r="K29" s="200">
        <f t="shared" si="7"/>
        <v>1726853.3330000001</v>
      </c>
      <c r="L29" s="200">
        <f t="shared" si="7"/>
        <v>1735949</v>
      </c>
      <c r="M29" s="200">
        <f t="shared" si="7"/>
        <v>1858743</v>
      </c>
      <c r="N29" s="200">
        <f t="shared" si="7"/>
        <v>21277490.761399999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29"/>
  <sheetViews>
    <sheetView showGridLines="0" workbookViewId="0">
      <selection activeCell="N6" sqref="N6"/>
    </sheetView>
  </sheetViews>
  <sheetFormatPr defaultColWidth="8.85546875" defaultRowHeight="15"/>
  <cols>
    <col min="1" max="1" width="28.28515625" style="17" customWidth="1"/>
    <col min="2" max="13" width="10.7109375" style="17" bestFit="1" customWidth="1"/>
    <col min="14" max="14" width="11.85546875" style="17" customWidth="1"/>
    <col min="15" max="16384" width="8.85546875" style="17"/>
  </cols>
  <sheetData>
    <row r="1" spans="1:14" ht="15.75" thickBot="1">
      <c r="A1" s="66" t="s">
        <v>0</v>
      </c>
      <c r="B1" s="35">
        <v>43101</v>
      </c>
      <c r="C1" s="35">
        <v>43132</v>
      </c>
      <c r="D1" s="35">
        <v>43160</v>
      </c>
      <c r="E1" s="35">
        <v>43191</v>
      </c>
      <c r="F1" s="35">
        <v>43221</v>
      </c>
      <c r="G1" s="35">
        <v>43252</v>
      </c>
      <c r="H1" s="35">
        <v>43282</v>
      </c>
      <c r="I1" s="35">
        <v>43313</v>
      </c>
      <c r="J1" s="35">
        <v>43344</v>
      </c>
      <c r="K1" s="35">
        <v>43374</v>
      </c>
      <c r="L1" s="35">
        <v>43405</v>
      </c>
      <c r="M1" s="35">
        <v>43435</v>
      </c>
      <c r="N1" s="36" t="s">
        <v>130</v>
      </c>
    </row>
    <row r="2" spans="1:14">
      <c r="A2" s="19"/>
      <c r="B2" s="32"/>
      <c r="C2" s="32"/>
      <c r="D2" s="32"/>
      <c r="E2" s="32"/>
      <c r="F2" s="32"/>
      <c r="G2" s="32"/>
      <c r="H2" s="32"/>
      <c r="I2" s="32"/>
      <c r="J2" s="32"/>
      <c r="K2" s="32"/>
      <c r="L2" s="32"/>
      <c r="M2" s="32"/>
      <c r="N2" s="19"/>
    </row>
    <row r="3" spans="1:14" ht="15.75" thickBot="1">
      <c r="A3" s="21" t="s">
        <v>1</v>
      </c>
      <c r="B3" s="32"/>
      <c r="C3" s="32"/>
      <c r="D3" s="32"/>
      <c r="E3" s="32"/>
      <c r="F3" s="32"/>
      <c r="G3" s="32"/>
      <c r="H3" s="32"/>
      <c r="I3" s="32"/>
      <c r="J3" s="32"/>
      <c r="K3" s="32"/>
      <c r="L3" s="32"/>
      <c r="M3" s="32"/>
      <c r="N3" s="19"/>
    </row>
    <row r="4" spans="1:14" ht="30" customHeight="1">
      <c r="A4" s="28" t="s">
        <v>55</v>
      </c>
      <c r="B4" s="210">
        <v>1650084</v>
      </c>
      <c r="C4" s="210">
        <v>1844650</v>
      </c>
      <c r="D4" s="210">
        <v>1630891</v>
      </c>
      <c r="E4" s="210">
        <v>1699198</v>
      </c>
      <c r="F4" s="210">
        <v>1500273</v>
      </c>
      <c r="G4" s="210">
        <v>1479991</v>
      </c>
      <c r="H4" s="210">
        <v>1628550</v>
      </c>
      <c r="I4" s="210">
        <v>1835041</v>
      </c>
      <c r="J4" s="210">
        <v>1820840</v>
      </c>
      <c r="K4" s="210">
        <v>1753197</v>
      </c>
      <c r="L4" s="210">
        <v>1583832</v>
      </c>
      <c r="M4" s="210">
        <v>1621507</v>
      </c>
      <c r="N4" s="87">
        <f>SUM(B4:M4)</f>
        <v>20048054</v>
      </c>
    </row>
    <row r="5" spans="1:14">
      <c r="A5" s="78" t="s">
        <v>2</v>
      </c>
      <c r="B5" s="211">
        <v>58070</v>
      </c>
      <c r="C5" s="211">
        <v>88217</v>
      </c>
      <c r="D5" s="211">
        <v>64443</v>
      </c>
      <c r="E5" s="211">
        <v>60706</v>
      </c>
      <c r="F5" s="211">
        <v>53965</v>
      </c>
      <c r="G5" s="211">
        <v>46424</v>
      </c>
      <c r="H5" s="211">
        <v>44845</v>
      </c>
      <c r="I5" s="211">
        <v>54314</v>
      </c>
      <c r="J5" s="211">
        <v>55372</v>
      </c>
      <c r="K5" s="211">
        <v>55735</v>
      </c>
      <c r="L5" s="211">
        <v>52673</v>
      </c>
      <c r="M5" s="211">
        <v>57598</v>
      </c>
      <c r="N5" s="88">
        <f t="shared" ref="N5:N10" si="0">SUM(B5:M5)</f>
        <v>692362</v>
      </c>
    </row>
    <row r="6" spans="1:14">
      <c r="A6" s="78" t="s">
        <v>57</v>
      </c>
      <c r="B6" s="211">
        <v>1152</v>
      </c>
      <c r="C6" s="211">
        <v>799</v>
      </c>
      <c r="D6" s="211">
        <v>808</v>
      </c>
      <c r="E6" s="211">
        <v>554</v>
      </c>
      <c r="F6" s="211">
        <v>116.02800000000001</v>
      </c>
      <c r="G6" s="211">
        <v>110</v>
      </c>
      <c r="H6" s="211">
        <v>88</v>
      </c>
      <c r="I6" s="211">
        <v>87</v>
      </c>
      <c r="J6" s="211">
        <v>293</v>
      </c>
      <c r="K6" s="211">
        <v>614</v>
      </c>
      <c r="L6" s="17">
        <v>990</v>
      </c>
      <c r="M6" s="17">
        <v>1120</v>
      </c>
      <c r="N6" s="88">
        <f>SUM(B6:M6)</f>
        <v>6731.0280000000002</v>
      </c>
    </row>
    <row r="7" spans="1:14">
      <c r="A7" s="78" t="s">
        <v>58</v>
      </c>
      <c r="B7" s="211">
        <v>2691.85</v>
      </c>
      <c r="C7" s="211">
        <v>3389.0720000000001</v>
      </c>
      <c r="D7" s="211">
        <v>2637</v>
      </c>
      <c r="E7" s="211">
        <v>2695.0140000000001</v>
      </c>
      <c r="F7" s="211">
        <f>262.645+1615.954</f>
        <v>1878.5989999999999</v>
      </c>
      <c r="G7" s="211">
        <v>1062.184</v>
      </c>
      <c r="H7" s="211">
        <v>1108.595</v>
      </c>
      <c r="I7" s="211">
        <v>1377.569</v>
      </c>
      <c r="J7" s="211">
        <v>1268.924</v>
      </c>
      <c r="K7" s="211">
        <v>1143.403</v>
      </c>
      <c r="L7" s="211">
        <v>1643.3779999999999</v>
      </c>
      <c r="M7" s="211">
        <v>2434.4780000000001</v>
      </c>
      <c r="N7" s="88">
        <f t="shared" si="0"/>
        <v>23330.065999999999</v>
      </c>
    </row>
    <row r="8" spans="1:14">
      <c r="A8" s="25" t="s">
        <v>60</v>
      </c>
      <c r="B8" s="211">
        <v>1100</v>
      </c>
      <c r="C8" s="211">
        <v>937</v>
      </c>
      <c r="D8" s="211">
        <v>938</v>
      </c>
      <c r="E8" s="211">
        <v>1064</v>
      </c>
      <c r="F8" s="211">
        <v>904</v>
      </c>
      <c r="G8" s="211">
        <v>200.85</v>
      </c>
      <c r="H8" s="211">
        <v>273.5838</v>
      </c>
      <c r="I8" s="211">
        <v>771.5598</v>
      </c>
      <c r="J8" s="211">
        <v>155.85560000000001</v>
      </c>
      <c r="K8" s="211">
        <v>647.46900000000005</v>
      </c>
      <c r="L8" s="211">
        <v>671.4846</v>
      </c>
      <c r="M8" s="211">
        <v>1106.289</v>
      </c>
      <c r="N8" s="88">
        <f t="shared" si="0"/>
        <v>8770.0918000000001</v>
      </c>
    </row>
    <row r="9" spans="1:14" ht="15.75" thickBot="1">
      <c r="A9" s="25" t="s">
        <v>7</v>
      </c>
      <c r="B9" s="212">
        <v>582</v>
      </c>
      <c r="C9" s="212">
        <v>480</v>
      </c>
      <c r="D9" s="212">
        <v>414</v>
      </c>
      <c r="E9" s="212">
        <v>450</v>
      </c>
      <c r="F9" s="212">
        <v>356</v>
      </c>
      <c r="G9" s="212">
        <v>315</v>
      </c>
      <c r="H9" s="212">
        <v>317</v>
      </c>
      <c r="I9" s="212">
        <v>248</v>
      </c>
      <c r="J9" s="212">
        <v>269</v>
      </c>
      <c r="K9" s="212">
        <v>344</v>
      </c>
      <c r="L9" s="212">
        <v>382</v>
      </c>
      <c r="M9" s="212">
        <v>421</v>
      </c>
      <c r="N9" s="145">
        <f t="shared" si="0"/>
        <v>4578</v>
      </c>
    </row>
    <row r="10" spans="1:14" ht="16.5" thickTop="1" thickBot="1">
      <c r="A10" s="64" t="s">
        <v>45</v>
      </c>
      <c r="B10" s="69">
        <f>SUM(B4:B9)</f>
        <v>1713679.85</v>
      </c>
      <c r="C10" s="69">
        <f t="shared" ref="C10:M10" si="1">SUM(C4:C9)</f>
        <v>1938472.0719999999</v>
      </c>
      <c r="D10" s="69">
        <f t="shared" si="1"/>
        <v>1700131</v>
      </c>
      <c r="E10" s="69">
        <f t="shared" si="1"/>
        <v>1764667.014</v>
      </c>
      <c r="F10" s="69">
        <f t="shared" si="1"/>
        <v>1557492.6269999999</v>
      </c>
      <c r="G10" s="69">
        <f t="shared" si="1"/>
        <v>1528103.034</v>
      </c>
      <c r="H10" s="69">
        <f t="shared" si="1"/>
        <v>1675182.1787999999</v>
      </c>
      <c r="I10" s="69">
        <f t="shared" si="1"/>
        <v>1891839.1287999998</v>
      </c>
      <c r="J10" s="69">
        <f t="shared" si="1"/>
        <v>1878198.7796</v>
      </c>
      <c r="K10" s="69">
        <f t="shared" si="1"/>
        <v>1811680.872</v>
      </c>
      <c r="L10" s="69">
        <f t="shared" si="1"/>
        <v>1640191.8626000001</v>
      </c>
      <c r="M10" s="69">
        <f t="shared" si="1"/>
        <v>1684186.767</v>
      </c>
      <c r="N10" s="155">
        <f t="shared" si="0"/>
        <v>20783825.185800001</v>
      </c>
    </row>
    <row r="11" spans="1:14">
      <c r="A11" s="21"/>
      <c r="B11" s="159"/>
      <c r="C11" s="159"/>
      <c r="D11" s="159"/>
      <c r="E11" s="159"/>
      <c r="F11" s="159"/>
      <c r="G11" s="159"/>
      <c r="H11" s="159"/>
      <c r="I11" s="159"/>
      <c r="J11" s="159"/>
      <c r="K11" s="159"/>
      <c r="L11" s="159"/>
      <c r="M11" s="159"/>
      <c r="N11" s="159"/>
    </row>
    <row r="12" spans="1:14" ht="15.75" thickBot="1">
      <c r="A12" s="21" t="s">
        <v>53</v>
      </c>
      <c r="B12" s="159"/>
      <c r="C12" s="159"/>
      <c r="D12" s="159"/>
      <c r="E12" s="159"/>
      <c r="F12" s="159"/>
      <c r="G12" s="159"/>
      <c r="H12" s="159"/>
      <c r="I12" s="159"/>
      <c r="J12" s="159"/>
      <c r="K12" s="159"/>
      <c r="L12" s="159"/>
      <c r="M12" s="159"/>
      <c r="N12" s="159"/>
    </row>
    <row r="13" spans="1:14">
      <c r="A13" s="86" t="s">
        <v>94</v>
      </c>
      <c r="B13" s="105">
        <v>2570</v>
      </c>
      <c r="C13" s="105">
        <v>500</v>
      </c>
      <c r="D13" s="105">
        <v>430</v>
      </c>
      <c r="E13" s="105">
        <v>7200</v>
      </c>
      <c r="F13" s="105">
        <v>1510</v>
      </c>
      <c r="G13" s="105">
        <v>2120</v>
      </c>
      <c r="H13" s="105">
        <v>3090</v>
      </c>
      <c r="I13" s="105">
        <v>1370</v>
      </c>
      <c r="J13" s="105">
        <v>1820</v>
      </c>
      <c r="K13" s="105">
        <v>3130</v>
      </c>
      <c r="L13" s="105">
        <v>1590</v>
      </c>
      <c r="M13" s="105">
        <v>0</v>
      </c>
      <c r="N13" s="196">
        <f>SUM(B13:M13)</f>
        <v>25330</v>
      </c>
    </row>
    <row r="14" spans="1:14">
      <c r="A14" s="25" t="s">
        <v>95</v>
      </c>
      <c r="B14" s="107">
        <v>2660</v>
      </c>
      <c r="C14" s="107">
        <v>1210</v>
      </c>
      <c r="D14" s="107">
        <v>1520</v>
      </c>
      <c r="E14" s="107">
        <v>2810</v>
      </c>
      <c r="F14" s="107">
        <v>690</v>
      </c>
      <c r="G14" s="107">
        <v>1040</v>
      </c>
      <c r="H14" s="107">
        <v>3870</v>
      </c>
      <c r="I14" s="107">
        <v>1420</v>
      </c>
      <c r="J14" s="107">
        <v>1890</v>
      </c>
      <c r="K14" s="107">
        <v>2320</v>
      </c>
      <c r="L14" s="107">
        <v>1650</v>
      </c>
      <c r="M14" s="107">
        <v>0</v>
      </c>
      <c r="N14" s="197">
        <f t="shared" ref="N14:N16" si="2">SUM(B14:M14)</f>
        <v>21080</v>
      </c>
    </row>
    <row r="15" spans="1:14" ht="15.75" thickBot="1">
      <c r="A15" s="25" t="s">
        <v>96</v>
      </c>
      <c r="B15" s="156">
        <v>8354.0159999999996</v>
      </c>
      <c r="C15" s="156">
        <v>9451.0079999999998</v>
      </c>
      <c r="D15" s="156">
        <v>9197.8559999999998</v>
      </c>
      <c r="E15" s="156">
        <v>10210.464</v>
      </c>
      <c r="F15" s="156">
        <f>1098.68+7846.024</f>
        <v>8944.7039999999997</v>
      </c>
      <c r="G15" s="156">
        <v>11898.144</v>
      </c>
      <c r="H15" s="156">
        <v>12826.368</v>
      </c>
      <c r="I15" s="156">
        <v>15273.504000000001</v>
      </c>
      <c r="J15" s="156">
        <v>15779.808000000001</v>
      </c>
      <c r="K15" s="156">
        <v>10885.536</v>
      </c>
      <c r="L15" s="156">
        <v>8354.0159999999996</v>
      </c>
      <c r="M15" s="156">
        <v>8354.0159999999996</v>
      </c>
      <c r="N15" s="198">
        <f t="shared" si="2"/>
        <v>129529.44</v>
      </c>
    </row>
    <row r="16" spans="1:14" ht="16.5" thickTop="1" thickBot="1">
      <c r="A16" s="64" t="s">
        <v>56</v>
      </c>
      <c r="B16" s="157">
        <f>SUM(B13:B15)</f>
        <v>13584.016</v>
      </c>
      <c r="C16" s="157">
        <f t="shared" ref="C16:M16" si="3">SUM(C13:C15)</f>
        <v>11161.008</v>
      </c>
      <c r="D16" s="157">
        <f t="shared" si="3"/>
        <v>11147.856</v>
      </c>
      <c r="E16" s="157">
        <f t="shared" si="3"/>
        <v>20220.464</v>
      </c>
      <c r="F16" s="157">
        <f t="shared" si="3"/>
        <v>11144.704</v>
      </c>
      <c r="G16" s="157">
        <f t="shared" si="3"/>
        <v>15058.144</v>
      </c>
      <c r="H16" s="157">
        <f t="shared" si="3"/>
        <v>19786.368000000002</v>
      </c>
      <c r="I16" s="157">
        <f t="shared" si="3"/>
        <v>18063.504000000001</v>
      </c>
      <c r="J16" s="157">
        <f t="shared" si="3"/>
        <v>19489.808000000001</v>
      </c>
      <c r="K16" s="157">
        <f t="shared" si="3"/>
        <v>16335.536</v>
      </c>
      <c r="L16" s="157">
        <f t="shared" si="3"/>
        <v>11594.016</v>
      </c>
      <c r="M16" s="157">
        <f t="shared" si="3"/>
        <v>8354.0159999999996</v>
      </c>
      <c r="N16" s="160">
        <f t="shared" si="2"/>
        <v>175939.44</v>
      </c>
    </row>
    <row r="17" spans="1:14">
      <c r="A17" s="21"/>
      <c r="B17" s="159"/>
      <c r="C17" s="159"/>
      <c r="D17" s="159"/>
      <c r="E17" s="159"/>
      <c r="F17" s="159"/>
      <c r="G17" s="159"/>
      <c r="H17" s="159"/>
      <c r="I17" s="159"/>
      <c r="J17" s="159"/>
      <c r="K17" s="159"/>
      <c r="L17" s="159"/>
      <c r="M17" s="159"/>
      <c r="N17" s="159"/>
    </row>
    <row r="18" spans="1:14" ht="15.75" thickBot="1">
      <c r="A18" s="21" t="s">
        <v>8</v>
      </c>
      <c r="B18" s="159"/>
      <c r="C18" s="159"/>
      <c r="D18" s="159"/>
      <c r="E18" s="159"/>
      <c r="F18" s="159"/>
      <c r="G18" s="159"/>
      <c r="H18" s="159"/>
      <c r="I18" s="159"/>
      <c r="J18" s="159"/>
      <c r="K18" s="159"/>
      <c r="L18" s="159"/>
      <c r="M18" s="159"/>
      <c r="N18" s="159"/>
    </row>
    <row r="19" spans="1:14">
      <c r="A19" s="86" t="s">
        <v>97</v>
      </c>
      <c r="B19" s="213">
        <v>716.20899999999995</v>
      </c>
      <c r="C19" s="213">
        <v>865.99099999999999</v>
      </c>
      <c r="D19" s="213">
        <v>599.12599999999998</v>
      </c>
      <c r="E19" s="213">
        <v>466.22199999999998</v>
      </c>
      <c r="F19" s="213">
        <v>571.702</v>
      </c>
      <c r="G19" s="213">
        <f>332.262+97.042</f>
        <v>429.30399999999997</v>
      </c>
      <c r="H19" s="213">
        <v>764.73</v>
      </c>
      <c r="I19" s="213">
        <v>1488.3230000000001</v>
      </c>
      <c r="J19" s="213">
        <v>1346.98</v>
      </c>
      <c r="K19" s="213">
        <v>1099.1020000000001</v>
      </c>
      <c r="L19" s="213">
        <v>859.66200000000003</v>
      </c>
      <c r="M19" s="213">
        <v>677.18200000000002</v>
      </c>
      <c r="N19" s="196">
        <f>SUM(B19:M19)</f>
        <v>9884.5330000000013</v>
      </c>
    </row>
    <row r="20" spans="1:14">
      <c r="A20" s="25" t="s">
        <v>98</v>
      </c>
      <c r="B20" s="214">
        <v>7003.8720000000003</v>
      </c>
      <c r="C20" s="214">
        <v>11476.224</v>
      </c>
      <c r="D20" s="214">
        <v>8016.48</v>
      </c>
      <c r="E20" s="214">
        <v>6244.4160000000002</v>
      </c>
      <c r="F20" s="214">
        <v>6581.9520000000002</v>
      </c>
      <c r="G20" s="214">
        <f>801.648+632.88</f>
        <v>1434.528</v>
      </c>
      <c r="H20" s="214">
        <v>210.96</v>
      </c>
      <c r="I20" s="214">
        <v>42.192</v>
      </c>
      <c r="J20" s="214">
        <v>0</v>
      </c>
      <c r="K20" s="214">
        <v>42.192</v>
      </c>
      <c r="L20" s="214">
        <v>1983.0239999999999</v>
      </c>
      <c r="M20" s="214">
        <v>5780.3040000000001</v>
      </c>
      <c r="N20" s="197">
        <f t="shared" ref="N20:N24" si="4">SUM(B20:M20)</f>
        <v>48816.144</v>
      </c>
    </row>
    <row r="21" spans="1:14">
      <c r="A21" s="25" t="s">
        <v>85</v>
      </c>
      <c r="B21" s="214">
        <v>2544.1779999999999</v>
      </c>
      <c r="C21" s="214">
        <v>3417.5520000000001</v>
      </c>
      <c r="D21" s="214">
        <v>3298.36</v>
      </c>
      <c r="E21" s="214">
        <v>2905.9740000000002</v>
      </c>
      <c r="F21" s="214">
        <v>3109.55</v>
      </c>
      <c r="G21" s="214">
        <f>1001.005+547.441</f>
        <v>1548.4459999999999</v>
      </c>
      <c r="H21" s="214">
        <v>1019.992</v>
      </c>
      <c r="I21" s="214">
        <v>906.07299999999998</v>
      </c>
      <c r="J21" s="214">
        <v>903.96400000000006</v>
      </c>
      <c r="K21" s="214">
        <v>1142.348</v>
      </c>
      <c r="L21" s="214">
        <v>2065.2979999999998</v>
      </c>
      <c r="M21" s="214">
        <v>2633.8359999999998</v>
      </c>
      <c r="N21" s="197">
        <f t="shared" si="4"/>
        <v>25495.570999999996</v>
      </c>
    </row>
    <row r="22" spans="1:14">
      <c r="A22" s="25" t="s">
        <v>99</v>
      </c>
      <c r="B22" s="214">
        <v>485.20800000000003</v>
      </c>
      <c r="C22" s="214">
        <v>485.20800000000003</v>
      </c>
      <c r="D22" s="214">
        <v>418.75599999999997</v>
      </c>
      <c r="E22" s="214">
        <v>487.31799999999998</v>
      </c>
      <c r="F22" s="214">
        <v>660.30499999999995</v>
      </c>
      <c r="G22" s="214">
        <f>544.277+166.658</f>
        <v>710.93500000000006</v>
      </c>
      <c r="H22" s="214">
        <v>628.66099999999994</v>
      </c>
      <c r="I22" s="214">
        <v>677.18200000000002</v>
      </c>
      <c r="J22" s="214">
        <v>689.83900000000006</v>
      </c>
      <c r="K22" s="214">
        <v>710.93499999999995</v>
      </c>
      <c r="L22" s="214">
        <v>605.45500000000004</v>
      </c>
      <c r="M22" s="214">
        <v>579.08500000000004</v>
      </c>
      <c r="N22" s="197">
        <f t="shared" si="4"/>
        <v>7138.8869999999997</v>
      </c>
    </row>
    <row r="23" spans="1:14" ht="15.75" thickBot="1">
      <c r="A23" s="25" t="s">
        <v>100</v>
      </c>
      <c r="B23" s="215">
        <v>96830.64</v>
      </c>
      <c r="C23" s="215">
        <v>145351.44</v>
      </c>
      <c r="D23" s="215">
        <v>125310.24</v>
      </c>
      <c r="E23" s="215">
        <v>98096.4</v>
      </c>
      <c r="F23" s="215">
        <v>98940.24</v>
      </c>
      <c r="G23" s="215">
        <v>36707.040000000001</v>
      </c>
      <c r="H23" s="215">
        <v>28057.68</v>
      </c>
      <c r="I23" s="215">
        <v>31011.119999999999</v>
      </c>
      <c r="J23" s="215">
        <v>27635.759999999998</v>
      </c>
      <c r="K23" s="215">
        <v>33542.639999999999</v>
      </c>
      <c r="L23" s="215">
        <v>46411.199999999997</v>
      </c>
      <c r="M23" s="215">
        <v>87126.48</v>
      </c>
      <c r="N23" s="198">
        <f t="shared" si="4"/>
        <v>855020.88</v>
      </c>
    </row>
    <row r="24" spans="1:14" ht="16.5" thickTop="1" thickBot="1">
      <c r="A24" s="72" t="s">
        <v>46</v>
      </c>
      <c r="B24" s="199">
        <f>SUM(B19:B23)</f>
        <v>107580.107</v>
      </c>
      <c r="C24" s="199">
        <f t="shared" ref="C24:M24" si="5">SUM(C19:C23)</f>
        <v>161596.41500000001</v>
      </c>
      <c r="D24" s="199">
        <f t="shared" si="5"/>
        <v>137642.962</v>
      </c>
      <c r="E24" s="199">
        <f t="shared" si="5"/>
        <v>108200.32999999999</v>
      </c>
      <c r="F24" s="199">
        <f t="shared" si="5"/>
        <v>109863.74900000001</v>
      </c>
      <c r="G24" s="199">
        <f t="shared" si="5"/>
        <v>40830.252999999997</v>
      </c>
      <c r="H24" s="199">
        <f t="shared" si="5"/>
        <v>30682.023000000001</v>
      </c>
      <c r="I24" s="199">
        <f t="shared" si="5"/>
        <v>34124.89</v>
      </c>
      <c r="J24" s="199">
        <f t="shared" si="5"/>
        <v>30576.542999999998</v>
      </c>
      <c r="K24" s="199">
        <f t="shared" si="5"/>
        <v>36537.216999999997</v>
      </c>
      <c r="L24" s="199">
        <f t="shared" si="5"/>
        <v>51924.638999999996</v>
      </c>
      <c r="M24" s="199">
        <f t="shared" si="5"/>
        <v>96796.886999999988</v>
      </c>
      <c r="N24" s="216">
        <f t="shared" si="4"/>
        <v>946356.01500000001</v>
      </c>
    </row>
    <row r="25" spans="1:14" ht="33.75" customHeight="1" thickTop="1" thickBot="1">
      <c r="A25" s="73" t="s">
        <v>54</v>
      </c>
      <c r="B25" s="157">
        <f t="shared" ref="B25:N25" si="6">B10+B16+B24</f>
        <v>1834843.9730000002</v>
      </c>
      <c r="C25" s="157">
        <f t="shared" si="6"/>
        <v>2111229.4949999996</v>
      </c>
      <c r="D25" s="157">
        <f t="shared" si="6"/>
        <v>1848921.818</v>
      </c>
      <c r="E25" s="157">
        <f t="shared" si="6"/>
        <v>1893087.808</v>
      </c>
      <c r="F25" s="157">
        <f t="shared" si="6"/>
        <v>1678501.0799999998</v>
      </c>
      <c r="G25" s="157">
        <f t="shared" si="6"/>
        <v>1583991.4310000001</v>
      </c>
      <c r="H25" s="157">
        <f t="shared" si="6"/>
        <v>1725650.5697999999</v>
      </c>
      <c r="I25" s="157">
        <f t="shared" si="6"/>
        <v>1944027.5227999997</v>
      </c>
      <c r="J25" s="157">
        <f t="shared" si="6"/>
        <v>1928265.1306</v>
      </c>
      <c r="K25" s="157">
        <f t="shared" si="6"/>
        <v>1864553.625</v>
      </c>
      <c r="L25" s="157">
        <f t="shared" si="6"/>
        <v>1703710.5176000001</v>
      </c>
      <c r="M25" s="157">
        <f t="shared" si="6"/>
        <v>1789337.67</v>
      </c>
      <c r="N25" s="160">
        <f t="shared" si="6"/>
        <v>21906120.640800003</v>
      </c>
    </row>
    <row r="26" spans="1:14" ht="15.75" thickBot="1">
      <c r="A26" s="21"/>
      <c r="B26" s="159"/>
      <c r="C26" s="159"/>
      <c r="D26" s="159"/>
      <c r="E26" s="159"/>
      <c r="F26" s="159"/>
      <c r="G26" s="159"/>
      <c r="H26" s="159"/>
      <c r="I26" s="159"/>
      <c r="J26" s="159"/>
      <c r="K26" s="159"/>
      <c r="L26" s="159"/>
      <c r="M26" s="159"/>
      <c r="N26" s="159"/>
    </row>
    <row r="27" spans="1:14" ht="15.75" thickBot="1">
      <c r="A27" s="66" t="s">
        <v>19</v>
      </c>
      <c r="B27" s="188">
        <v>35700</v>
      </c>
      <c r="C27" s="188">
        <v>35700</v>
      </c>
      <c r="D27" s="188">
        <v>35700</v>
      </c>
      <c r="E27" s="188">
        <v>39000</v>
      </c>
      <c r="F27" s="188">
        <v>38700</v>
      </c>
      <c r="G27" s="188">
        <v>33600</v>
      </c>
      <c r="H27" s="188">
        <v>41400</v>
      </c>
      <c r="I27" s="188">
        <v>40500</v>
      </c>
      <c r="J27" s="188">
        <v>39300</v>
      </c>
      <c r="K27" s="188">
        <v>47100</v>
      </c>
      <c r="L27" s="188">
        <v>38400</v>
      </c>
      <c r="M27" s="188">
        <v>39300</v>
      </c>
      <c r="N27" s="189">
        <f>SUM(B27:M27)</f>
        <v>464400</v>
      </c>
    </row>
    <row r="28" spans="1:14" ht="15.75" thickBot="1">
      <c r="B28" s="159"/>
      <c r="C28" s="159"/>
      <c r="D28" s="159"/>
      <c r="E28" s="159"/>
      <c r="F28" s="159"/>
      <c r="G28" s="159"/>
      <c r="H28" s="159"/>
      <c r="I28" s="159"/>
      <c r="J28" s="159"/>
      <c r="K28" s="159"/>
      <c r="L28" s="159"/>
      <c r="M28" s="159"/>
      <c r="N28" s="159"/>
    </row>
    <row r="29" spans="1:14" ht="15.75" thickBot="1">
      <c r="A29" s="18" t="s">
        <v>48</v>
      </c>
      <c r="B29" s="200">
        <f>B25+B27</f>
        <v>1870543.9730000002</v>
      </c>
      <c r="C29" s="200">
        <f t="shared" ref="C29:N29" si="7">C25+C27</f>
        <v>2146929.4949999996</v>
      </c>
      <c r="D29" s="200">
        <f t="shared" si="7"/>
        <v>1884621.818</v>
      </c>
      <c r="E29" s="200">
        <f t="shared" si="7"/>
        <v>1932087.808</v>
      </c>
      <c r="F29" s="200">
        <f>F25+F27</f>
        <v>1717201.0799999998</v>
      </c>
      <c r="G29" s="200">
        <f t="shared" si="7"/>
        <v>1617591.4310000001</v>
      </c>
      <c r="H29" s="200">
        <f t="shared" si="7"/>
        <v>1767050.5697999999</v>
      </c>
      <c r="I29" s="200">
        <f t="shared" si="7"/>
        <v>1984527.5227999997</v>
      </c>
      <c r="J29" s="200">
        <f t="shared" si="7"/>
        <v>1967565.1306</v>
      </c>
      <c r="K29" s="200">
        <f t="shared" si="7"/>
        <v>1911653.625</v>
      </c>
      <c r="L29" s="200">
        <f t="shared" si="7"/>
        <v>1742110.5176000001</v>
      </c>
      <c r="M29" s="200">
        <f t="shared" si="7"/>
        <v>1828637.67</v>
      </c>
      <c r="N29" s="200">
        <f t="shared" si="7"/>
        <v>22370520.640800003</v>
      </c>
    </row>
  </sheetData>
  <pageMargins left="0.7" right="0.7" top="0.75" bottom="0.75" header="0.3" footer="0.3"/>
  <pageSetup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5"/>
  <sheetViews>
    <sheetView workbookViewId="0">
      <selection activeCell="M6" sqref="M6"/>
    </sheetView>
  </sheetViews>
  <sheetFormatPr defaultColWidth="8.85546875" defaultRowHeight="15"/>
  <cols>
    <col min="1" max="1" width="28.28515625" customWidth="1"/>
    <col min="2" max="13" width="12.140625" customWidth="1"/>
    <col min="14" max="14" width="12.85546875" customWidth="1"/>
  </cols>
  <sheetData>
    <row r="1" spans="1:14" ht="15.75" thickBot="1">
      <c r="A1" s="66" t="s">
        <v>0</v>
      </c>
      <c r="B1" s="35">
        <v>43466</v>
      </c>
      <c r="C1" s="35">
        <v>43497</v>
      </c>
      <c r="D1" s="35">
        <v>43525</v>
      </c>
      <c r="E1" s="35">
        <v>43556</v>
      </c>
      <c r="F1" s="35">
        <v>43586</v>
      </c>
      <c r="G1" s="35">
        <v>43617</v>
      </c>
      <c r="H1" s="35">
        <v>43647</v>
      </c>
      <c r="I1" s="35">
        <v>43678</v>
      </c>
      <c r="J1" s="35">
        <v>43709</v>
      </c>
      <c r="K1" s="35">
        <v>43739</v>
      </c>
      <c r="L1" s="35">
        <v>43770</v>
      </c>
      <c r="M1" s="35">
        <v>43800</v>
      </c>
      <c r="N1" s="36" t="s">
        <v>130</v>
      </c>
    </row>
    <row r="2" spans="1:14">
      <c r="A2" s="19"/>
      <c r="B2" s="32"/>
      <c r="C2" s="32"/>
      <c r="D2" s="32"/>
      <c r="E2" s="32"/>
      <c r="F2" s="32"/>
      <c r="G2" s="32"/>
      <c r="H2" s="32"/>
      <c r="I2" s="32"/>
      <c r="J2" s="32"/>
      <c r="K2" s="32"/>
      <c r="L2" s="32"/>
      <c r="M2" s="32"/>
      <c r="N2" s="19"/>
    </row>
    <row r="3" spans="1:14" ht="15.75" thickBot="1">
      <c r="A3" s="21" t="s">
        <v>1</v>
      </c>
      <c r="B3" s="32"/>
      <c r="C3" s="32"/>
      <c r="D3" s="32"/>
      <c r="E3" s="32"/>
      <c r="F3" s="32"/>
      <c r="G3" s="32"/>
      <c r="H3" s="32"/>
      <c r="I3" s="32"/>
      <c r="J3" s="32"/>
      <c r="K3" s="32"/>
      <c r="L3" s="32"/>
      <c r="M3" s="32"/>
      <c r="N3" s="19"/>
    </row>
    <row r="4" spans="1:14" ht="30">
      <c r="A4" s="28" t="s">
        <v>55</v>
      </c>
      <c r="B4" s="210">
        <v>1754279</v>
      </c>
      <c r="C4" s="210">
        <v>1593097</v>
      </c>
      <c r="D4" s="210">
        <v>1724061</v>
      </c>
      <c r="E4" s="210">
        <v>1539132</v>
      </c>
      <c r="F4" s="210">
        <v>1375634</v>
      </c>
      <c r="G4" s="210">
        <v>1537491</v>
      </c>
      <c r="H4" s="210">
        <v>1860511</v>
      </c>
      <c r="I4" s="210">
        <v>1714301</v>
      </c>
      <c r="J4" s="210">
        <v>1610060</v>
      </c>
      <c r="K4" s="210">
        <v>1552459</v>
      </c>
      <c r="L4" s="210">
        <v>1575000</v>
      </c>
      <c r="M4" s="210">
        <v>1587958</v>
      </c>
      <c r="N4" s="87">
        <f>SUM(B4:M4)</f>
        <v>19423983</v>
      </c>
    </row>
    <row r="5" spans="1:14">
      <c r="A5" s="78" t="s">
        <v>2</v>
      </c>
      <c r="B5" s="211">
        <v>83822</v>
      </c>
      <c r="C5" s="211">
        <v>69500</v>
      </c>
      <c r="D5" s="211">
        <v>59674</v>
      </c>
      <c r="E5" s="211">
        <v>47739</v>
      </c>
      <c r="F5" s="211">
        <v>50893</v>
      </c>
      <c r="G5" s="211">
        <v>49043</v>
      </c>
      <c r="H5" s="211">
        <v>49865</v>
      </c>
      <c r="I5" s="211">
        <v>48319</v>
      </c>
      <c r="J5" s="211">
        <v>44765</v>
      </c>
      <c r="K5" s="211">
        <v>48636</v>
      </c>
      <c r="L5" s="211">
        <v>55199</v>
      </c>
      <c r="M5" s="211">
        <v>68641</v>
      </c>
      <c r="N5" s="88">
        <f t="shared" ref="N5:N10" si="0">SUM(B5:M5)</f>
        <v>676096</v>
      </c>
    </row>
    <row r="6" spans="1:14">
      <c r="A6" s="78" t="s">
        <v>57</v>
      </c>
      <c r="B6" s="211">
        <v>1336</v>
      </c>
      <c r="C6" s="211">
        <v>1068</v>
      </c>
      <c r="D6" s="211">
        <v>789</v>
      </c>
      <c r="E6" s="211">
        <f>83+488</f>
        <v>571</v>
      </c>
      <c r="F6" s="211">
        <v>288</v>
      </c>
      <c r="G6" s="211">
        <v>123</v>
      </c>
      <c r="H6" s="211">
        <v>98</v>
      </c>
      <c r="I6" s="211">
        <v>148</v>
      </c>
      <c r="J6" s="211">
        <v>321</v>
      </c>
      <c r="K6" s="211">
        <f>209+528</f>
        <v>737</v>
      </c>
      <c r="L6" s="211">
        <v>990</v>
      </c>
      <c r="M6" s="211">
        <v>1147</v>
      </c>
      <c r="N6" s="88">
        <f t="shared" si="0"/>
        <v>7616</v>
      </c>
    </row>
    <row r="7" spans="1:14">
      <c r="A7" s="78" t="s">
        <v>58</v>
      </c>
      <c r="B7" s="211">
        <v>3032</v>
      </c>
      <c r="C7" s="211">
        <v>2431</v>
      </c>
      <c r="D7" s="211">
        <v>2921</v>
      </c>
      <c r="E7" s="211">
        <f>357+1539</f>
        <v>1896</v>
      </c>
      <c r="F7" s="211">
        <v>1539</v>
      </c>
      <c r="G7" s="211">
        <v>1261</v>
      </c>
      <c r="H7" s="211">
        <v>1783</v>
      </c>
      <c r="I7" s="211">
        <v>1497</v>
      </c>
      <c r="J7" s="211">
        <v>1394</v>
      </c>
      <c r="K7" s="211">
        <f>364+1655</f>
        <v>2019</v>
      </c>
      <c r="L7" s="211">
        <v>2317</v>
      </c>
      <c r="M7" s="211">
        <v>2612</v>
      </c>
      <c r="N7" s="88">
        <f t="shared" si="0"/>
        <v>24702</v>
      </c>
    </row>
    <row r="8" spans="1:14">
      <c r="A8" s="25" t="s">
        <v>60</v>
      </c>
      <c r="B8" s="211">
        <v>1093</v>
      </c>
      <c r="C8" s="211">
        <v>1168</v>
      </c>
      <c r="D8" s="211">
        <v>1095</v>
      </c>
      <c r="E8" s="211">
        <v>1150</v>
      </c>
      <c r="F8" s="211">
        <v>345</v>
      </c>
      <c r="G8" s="211">
        <v>276</v>
      </c>
      <c r="H8" s="211">
        <v>435</v>
      </c>
      <c r="I8" s="211">
        <v>412</v>
      </c>
      <c r="J8" s="211">
        <v>275</v>
      </c>
      <c r="K8" s="211">
        <v>833</v>
      </c>
      <c r="L8" s="211">
        <v>933</v>
      </c>
      <c r="M8" s="211">
        <v>7</v>
      </c>
      <c r="N8" s="88">
        <f t="shared" si="0"/>
        <v>8022</v>
      </c>
    </row>
    <row r="9" spans="1:14" ht="15.75" thickBot="1">
      <c r="A9" s="25" t="s">
        <v>7</v>
      </c>
      <c r="B9" s="212">
        <v>465</v>
      </c>
      <c r="C9" s="212">
        <v>497</v>
      </c>
      <c r="D9" s="212">
        <v>429</v>
      </c>
      <c r="E9" s="212">
        <v>376</v>
      </c>
      <c r="F9" s="212">
        <v>338</v>
      </c>
      <c r="G9" s="212">
        <v>278</v>
      </c>
      <c r="H9" s="212">
        <v>223</v>
      </c>
      <c r="I9" s="212">
        <v>283</v>
      </c>
      <c r="J9" s="212">
        <v>329</v>
      </c>
      <c r="K9" s="212">
        <v>359</v>
      </c>
      <c r="L9" s="212">
        <v>482</v>
      </c>
      <c r="M9" s="212">
        <v>511</v>
      </c>
      <c r="N9" s="145">
        <f t="shared" si="0"/>
        <v>4570</v>
      </c>
    </row>
    <row r="10" spans="1:14" ht="16.5" thickTop="1" thickBot="1">
      <c r="A10" s="64" t="s">
        <v>45</v>
      </c>
      <c r="B10" s="69">
        <f>SUM(B4:B9)</f>
        <v>1844027</v>
      </c>
      <c r="C10" s="69">
        <f t="shared" ref="C10:M10" si="1">SUM(C4:C9)</f>
        <v>1667761</v>
      </c>
      <c r="D10" s="69">
        <f t="shared" si="1"/>
        <v>1788969</v>
      </c>
      <c r="E10" s="69">
        <f t="shared" si="1"/>
        <v>1590864</v>
      </c>
      <c r="F10" s="69">
        <f t="shared" si="1"/>
        <v>1429037</v>
      </c>
      <c r="G10" s="69">
        <f t="shared" si="1"/>
        <v>1588472</v>
      </c>
      <c r="H10" s="69">
        <f t="shared" si="1"/>
        <v>1912915</v>
      </c>
      <c r="I10" s="69">
        <f t="shared" si="1"/>
        <v>1764960</v>
      </c>
      <c r="J10" s="69">
        <f t="shared" si="1"/>
        <v>1657144</v>
      </c>
      <c r="K10" s="69">
        <f t="shared" si="1"/>
        <v>1605043</v>
      </c>
      <c r="L10" s="69">
        <f t="shared" si="1"/>
        <v>1634921</v>
      </c>
      <c r="M10" s="69">
        <f t="shared" si="1"/>
        <v>1660876</v>
      </c>
      <c r="N10" s="155">
        <f t="shared" si="0"/>
        <v>20144989</v>
      </c>
    </row>
    <row r="11" spans="1:14">
      <c r="A11" s="21"/>
      <c r="B11" s="159"/>
      <c r="C11" s="159"/>
      <c r="D11" s="159"/>
      <c r="E11" s="159"/>
      <c r="F11" s="159"/>
      <c r="G11" s="159"/>
      <c r="H11" s="159"/>
      <c r="I11" s="159"/>
      <c r="J11" s="159"/>
      <c r="K11" s="159"/>
      <c r="L11" s="159"/>
      <c r="M11" s="159"/>
      <c r="N11" s="159"/>
    </row>
    <row r="12" spans="1:14">
      <c r="A12" s="21"/>
      <c r="B12" s="159"/>
      <c r="C12" s="159"/>
      <c r="D12" s="159"/>
      <c r="E12" s="159"/>
      <c r="F12" s="159"/>
      <c r="G12" s="159"/>
      <c r="H12" s="159"/>
      <c r="I12" s="159"/>
      <c r="J12" s="159"/>
      <c r="K12" s="159"/>
      <c r="L12" s="159"/>
      <c r="M12" s="159"/>
      <c r="N12" s="159"/>
    </row>
    <row r="13" spans="1:14" ht="15.75" thickBot="1">
      <c r="A13" s="21" t="s">
        <v>8</v>
      </c>
      <c r="B13" s="159"/>
      <c r="C13" s="159"/>
      <c r="D13" s="159"/>
      <c r="E13" s="159"/>
      <c r="F13" s="159"/>
      <c r="G13" s="159"/>
      <c r="H13" s="159"/>
      <c r="I13" s="159"/>
      <c r="J13" s="159"/>
      <c r="K13" s="159"/>
      <c r="L13" s="159"/>
      <c r="M13" s="159"/>
      <c r="N13" s="159"/>
    </row>
    <row r="14" spans="1:14">
      <c r="A14" s="86" t="s">
        <v>97</v>
      </c>
      <c r="B14" s="213">
        <v>648</v>
      </c>
      <c r="C14" s="213">
        <v>755</v>
      </c>
      <c r="D14" s="213">
        <v>547</v>
      </c>
      <c r="E14" s="213">
        <v>481</v>
      </c>
      <c r="F14" s="213">
        <f>313+85</f>
        <v>398</v>
      </c>
      <c r="G14" s="213">
        <v>542</v>
      </c>
      <c r="H14" s="213">
        <v>462</v>
      </c>
      <c r="I14" s="213">
        <v>552</v>
      </c>
      <c r="J14" s="213">
        <v>387</v>
      </c>
      <c r="K14" s="213">
        <v>397</v>
      </c>
      <c r="L14" s="213">
        <f>338+102</f>
        <v>440</v>
      </c>
      <c r="M14" s="213">
        <f>536</f>
        <v>536</v>
      </c>
      <c r="N14" s="196">
        <f>SUM(B14:M14)</f>
        <v>6145</v>
      </c>
    </row>
    <row r="15" spans="1:14">
      <c r="A15" s="25" t="s">
        <v>98</v>
      </c>
      <c r="B15" s="214">
        <v>9560</v>
      </c>
      <c r="C15" s="214">
        <v>9200</v>
      </c>
      <c r="D15" s="214">
        <v>7240</v>
      </c>
      <c r="E15" s="214">
        <v>5119</v>
      </c>
      <c r="F15" s="214">
        <f>1641+920</f>
        <v>2561</v>
      </c>
      <c r="G15" s="214">
        <v>760</v>
      </c>
      <c r="H15" s="214">
        <v>9172</v>
      </c>
      <c r="I15" s="214">
        <v>0</v>
      </c>
      <c r="J15" s="214">
        <v>80</v>
      </c>
      <c r="K15" s="214">
        <v>1360</v>
      </c>
      <c r="L15" s="214">
        <f>4170+630</f>
        <v>4800</v>
      </c>
      <c r="M15" s="214">
        <f>6280</f>
        <v>6280</v>
      </c>
      <c r="N15" s="197">
        <f t="shared" ref="N15:N19" si="2">SUM(B15:M15)</f>
        <v>56132</v>
      </c>
    </row>
    <row r="16" spans="1:14">
      <c r="A16" s="25" t="s">
        <v>85</v>
      </c>
      <c r="B16" s="214">
        <v>2862</v>
      </c>
      <c r="C16" s="214">
        <v>3051</v>
      </c>
      <c r="D16" s="214">
        <v>2718</v>
      </c>
      <c r="E16" s="214">
        <v>2766</v>
      </c>
      <c r="F16" s="214">
        <f>1319+589</f>
        <v>1908</v>
      </c>
      <c r="G16" s="214">
        <v>916</v>
      </c>
      <c r="H16" s="214">
        <v>784</v>
      </c>
      <c r="I16" s="214">
        <v>734</v>
      </c>
      <c r="J16" s="214">
        <v>744</v>
      </c>
      <c r="K16" s="214">
        <v>1535</v>
      </c>
      <c r="L16" s="214">
        <f>1774+511</f>
        <v>2285</v>
      </c>
      <c r="M16" s="214">
        <f>2089</f>
        <v>2089</v>
      </c>
      <c r="N16" s="197">
        <f t="shared" si="2"/>
        <v>22392</v>
      </c>
    </row>
    <row r="17" spans="1:14">
      <c r="A17" s="25" t="s">
        <v>99</v>
      </c>
      <c r="B17" s="214">
        <v>616</v>
      </c>
      <c r="C17" s="214">
        <v>571</v>
      </c>
      <c r="D17" s="214">
        <v>550</v>
      </c>
      <c r="E17" s="214">
        <v>601</v>
      </c>
      <c r="F17" s="214">
        <f>371+117</f>
        <v>488</v>
      </c>
      <c r="G17" s="214">
        <v>514</v>
      </c>
      <c r="H17" s="214">
        <v>553</v>
      </c>
      <c r="I17" s="214">
        <v>519</v>
      </c>
      <c r="J17" s="214">
        <v>543</v>
      </c>
      <c r="K17" s="214">
        <v>478</v>
      </c>
      <c r="L17" s="214">
        <f>323+121</f>
        <v>444</v>
      </c>
      <c r="M17" s="214">
        <f>415</f>
        <v>415</v>
      </c>
      <c r="N17" s="197">
        <f t="shared" si="2"/>
        <v>6292</v>
      </c>
    </row>
    <row r="18" spans="1:14" ht="15.75" thickBot="1">
      <c r="A18" s="25" t="s">
        <v>100</v>
      </c>
      <c r="B18" s="215">
        <v>131800</v>
      </c>
      <c r="C18" s="215">
        <v>124800</v>
      </c>
      <c r="D18" s="215">
        <v>105200</v>
      </c>
      <c r="E18" s="215">
        <v>74400</v>
      </c>
      <c r="F18" s="215">
        <v>37600</v>
      </c>
      <c r="G18" s="215">
        <v>25200</v>
      </c>
      <c r="H18" s="215">
        <v>28000</v>
      </c>
      <c r="I18" s="215">
        <v>26000</v>
      </c>
      <c r="J18" s="215">
        <v>32200</v>
      </c>
      <c r="K18" s="215">
        <v>40600</v>
      </c>
      <c r="L18" s="215">
        <v>82800</v>
      </c>
      <c r="M18" s="215">
        <f>95000</f>
        <v>95000</v>
      </c>
      <c r="N18" s="198">
        <f t="shared" si="2"/>
        <v>803600</v>
      </c>
    </row>
    <row r="19" spans="1:14" ht="16.5" thickTop="1" thickBot="1">
      <c r="A19" s="72" t="s">
        <v>46</v>
      </c>
      <c r="B19" s="199">
        <f>SUM(B14:B18)</f>
        <v>145486</v>
      </c>
      <c r="C19" s="199">
        <f t="shared" ref="C19:M19" si="3">SUM(C14:C18)</f>
        <v>138377</v>
      </c>
      <c r="D19" s="199">
        <f t="shared" si="3"/>
        <v>116255</v>
      </c>
      <c r="E19" s="199">
        <f t="shared" si="3"/>
        <v>83367</v>
      </c>
      <c r="F19" s="199">
        <f t="shared" si="3"/>
        <v>42955</v>
      </c>
      <c r="G19" s="199">
        <f t="shared" si="3"/>
        <v>27932</v>
      </c>
      <c r="H19" s="199">
        <f t="shared" si="3"/>
        <v>38971</v>
      </c>
      <c r="I19" s="199">
        <f t="shared" si="3"/>
        <v>27805</v>
      </c>
      <c r="J19" s="199">
        <f t="shared" si="3"/>
        <v>33954</v>
      </c>
      <c r="K19" s="199">
        <f t="shared" si="3"/>
        <v>44370</v>
      </c>
      <c r="L19" s="199">
        <f t="shared" si="3"/>
        <v>90769</v>
      </c>
      <c r="M19" s="199">
        <f t="shared" si="3"/>
        <v>104320</v>
      </c>
      <c r="N19" s="216">
        <f t="shared" si="2"/>
        <v>894561</v>
      </c>
    </row>
    <row r="20" spans="1:14" ht="45" thickTop="1" thickBot="1">
      <c r="A20" s="73" t="s">
        <v>54</v>
      </c>
      <c r="B20" s="157">
        <f>B10+B19</f>
        <v>1989513</v>
      </c>
      <c r="C20" s="157">
        <f t="shared" ref="C20:N20" si="4">C10+C19</f>
        <v>1806138</v>
      </c>
      <c r="D20" s="157">
        <f t="shared" si="4"/>
        <v>1905224</v>
      </c>
      <c r="E20" s="157">
        <f t="shared" si="4"/>
        <v>1674231</v>
      </c>
      <c r="F20" s="157">
        <f t="shared" si="4"/>
        <v>1471992</v>
      </c>
      <c r="G20" s="157">
        <f t="shared" si="4"/>
        <v>1616404</v>
      </c>
      <c r="H20" s="157">
        <f t="shared" si="4"/>
        <v>1951886</v>
      </c>
      <c r="I20" s="157">
        <f t="shared" si="4"/>
        <v>1792765</v>
      </c>
      <c r="J20" s="157">
        <f t="shared" si="4"/>
        <v>1691098</v>
      </c>
      <c r="K20" s="157">
        <f t="shared" si="4"/>
        <v>1649413</v>
      </c>
      <c r="L20" s="157">
        <f t="shared" si="4"/>
        <v>1725690</v>
      </c>
      <c r="M20" s="157">
        <f t="shared" si="4"/>
        <v>1765196</v>
      </c>
      <c r="N20" s="157">
        <f t="shared" si="4"/>
        <v>21039550</v>
      </c>
    </row>
    <row r="21" spans="1:14" ht="15.75" thickBot="1">
      <c r="A21" s="21"/>
      <c r="B21" s="159"/>
      <c r="C21" s="159"/>
      <c r="D21" s="159"/>
      <c r="E21" s="159"/>
      <c r="F21" s="159"/>
      <c r="G21" s="159"/>
      <c r="H21" s="159"/>
      <c r="I21" s="159"/>
      <c r="J21" s="159"/>
      <c r="K21" s="159"/>
      <c r="L21" s="159"/>
      <c r="M21" s="159"/>
      <c r="N21" s="159"/>
    </row>
    <row r="22" spans="1:14" ht="15.75" thickBot="1">
      <c r="A22" s="66" t="s">
        <v>19</v>
      </c>
      <c r="B22" s="188">
        <v>34500</v>
      </c>
      <c r="C22" s="188">
        <v>39300</v>
      </c>
      <c r="D22" s="188">
        <v>34200</v>
      </c>
      <c r="E22" s="188">
        <v>40200</v>
      </c>
      <c r="F22" s="188">
        <v>34200</v>
      </c>
      <c r="G22" s="188">
        <v>30900</v>
      </c>
      <c r="H22" s="188">
        <v>36000</v>
      </c>
      <c r="I22" s="188">
        <v>43500</v>
      </c>
      <c r="J22" s="188">
        <v>37800</v>
      </c>
      <c r="K22" s="188">
        <v>42000</v>
      </c>
      <c r="L22" s="188">
        <v>38400</v>
      </c>
      <c r="M22" s="188">
        <v>39600</v>
      </c>
      <c r="N22" s="189">
        <f>SUM(B22:M22)</f>
        <v>450600</v>
      </c>
    </row>
    <row r="23" spans="1:14" ht="15.75" thickBot="1">
      <c r="A23" s="17"/>
      <c r="B23" s="159"/>
      <c r="C23" s="159"/>
      <c r="D23" s="159"/>
      <c r="E23" s="159"/>
      <c r="F23" s="159"/>
      <c r="G23" s="159"/>
      <c r="H23" s="159"/>
      <c r="I23" s="159"/>
      <c r="J23" s="159"/>
      <c r="K23" s="159"/>
      <c r="L23" s="159"/>
      <c r="M23" s="159"/>
      <c r="N23" s="159"/>
    </row>
    <row r="24" spans="1:14" ht="15.75" thickBot="1">
      <c r="A24" s="18" t="s">
        <v>48</v>
      </c>
      <c r="B24" s="200">
        <f>B20+B22</f>
        <v>2024013</v>
      </c>
      <c r="C24" s="200">
        <f t="shared" ref="C24:M24" si="5">C20+C22</f>
        <v>1845438</v>
      </c>
      <c r="D24" s="200">
        <f t="shared" si="5"/>
        <v>1939424</v>
      </c>
      <c r="E24" s="200">
        <f t="shared" si="5"/>
        <v>1714431</v>
      </c>
      <c r="F24" s="200">
        <f t="shared" si="5"/>
        <v>1506192</v>
      </c>
      <c r="G24" s="200">
        <f t="shared" si="5"/>
        <v>1647304</v>
      </c>
      <c r="H24" s="200">
        <f t="shared" si="5"/>
        <v>1987886</v>
      </c>
      <c r="I24" s="200">
        <f t="shared" si="5"/>
        <v>1836265</v>
      </c>
      <c r="J24" s="200">
        <f t="shared" si="5"/>
        <v>1728898</v>
      </c>
      <c r="K24" s="200">
        <f t="shared" si="5"/>
        <v>1691413</v>
      </c>
      <c r="L24" s="200">
        <f t="shared" si="5"/>
        <v>1764090</v>
      </c>
      <c r="M24" s="200">
        <f t="shared" si="5"/>
        <v>1804796</v>
      </c>
      <c r="N24" s="200">
        <f>N20+N22</f>
        <v>21490150</v>
      </c>
    </row>
    <row r="25" spans="1:14">
      <c r="A25" s="17"/>
      <c r="B25" s="17"/>
      <c r="C25" s="17"/>
      <c r="D25" s="17"/>
      <c r="E25" s="17"/>
      <c r="F25" s="17"/>
      <c r="G25" s="17"/>
      <c r="H25" s="17"/>
      <c r="I25" s="17"/>
      <c r="J25" s="17"/>
      <c r="K25" s="17"/>
      <c r="L25" s="17"/>
      <c r="M25" s="17"/>
      <c r="N25" s="1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1"/>
  <sheetViews>
    <sheetView topLeftCell="A5" workbookViewId="0">
      <selection activeCell="L23" sqref="L23"/>
    </sheetView>
  </sheetViews>
  <sheetFormatPr defaultColWidth="8.85546875" defaultRowHeight="15"/>
  <cols>
    <col min="1" max="1" width="28.28515625" customWidth="1"/>
    <col min="2" max="13" width="12.140625" customWidth="1"/>
    <col min="14" max="14" width="12.85546875" customWidth="1"/>
  </cols>
  <sheetData>
    <row r="1" spans="1:14" ht="15.75" thickBot="1">
      <c r="A1" s="66" t="s">
        <v>0</v>
      </c>
      <c r="B1" s="35">
        <v>43831</v>
      </c>
      <c r="C1" s="35">
        <v>43862</v>
      </c>
      <c r="D1" s="35">
        <v>43891</v>
      </c>
      <c r="E1" s="35">
        <v>43922</v>
      </c>
      <c r="F1" s="35">
        <v>43952</v>
      </c>
      <c r="G1" s="35">
        <v>43983</v>
      </c>
      <c r="H1" s="35">
        <v>44013</v>
      </c>
      <c r="I1" s="35">
        <v>44044</v>
      </c>
      <c r="J1" s="35">
        <v>44075</v>
      </c>
      <c r="K1" s="35">
        <v>44105</v>
      </c>
      <c r="L1" s="35">
        <v>44136</v>
      </c>
      <c r="M1" s="35">
        <v>44166</v>
      </c>
      <c r="N1" s="36" t="s">
        <v>130</v>
      </c>
    </row>
    <row r="2" spans="1:14">
      <c r="A2" s="19"/>
      <c r="B2" s="32"/>
      <c r="D2" s="32"/>
      <c r="E2" s="32"/>
      <c r="F2" s="32"/>
      <c r="G2" s="32"/>
      <c r="H2" s="32"/>
      <c r="I2" s="32"/>
      <c r="J2" s="32"/>
      <c r="K2" s="32"/>
      <c r="L2" s="32"/>
      <c r="M2" s="32"/>
      <c r="N2" s="19"/>
    </row>
    <row r="3" spans="1:14" ht="15.75" thickBot="1">
      <c r="A3" s="21" t="s">
        <v>1</v>
      </c>
      <c r="B3" s="32"/>
      <c r="C3" s="32"/>
      <c r="D3" s="32"/>
      <c r="E3" s="32"/>
      <c r="F3" s="32"/>
      <c r="G3" s="32"/>
      <c r="H3" s="32"/>
      <c r="I3" s="32"/>
      <c r="J3" s="32"/>
      <c r="K3" s="32"/>
      <c r="L3" s="32"/>
      <c r="M3" s="32"/>
      <c r="N3" s="19"/>
    </row>
    <row r="4" spans="1:14" ht="30">
      <c r="A4" s="28" t="s">
        <v>55</v>
      </c>
      <c r="B4" s="210">
        <v>1774208</v>
      </c>
      <c r="C4" s="210">
        <v>1651516</v>
      </c>
      <c r="D4" s="210">
        <v>1543993</v>
      </c>
      <c r="E4" s="210">
        <v>1220045</v>
      </c>
      <c r="F4" s="210">
        <v>1253077</v>
      </c>
      <c r="G4" s="210">
        <v>1394116</v>
      </c>
      <c r="H4" s="210">
        <v>1750371</v>
      </c>
      <c r="I4" s="210">
        <v>1629452</v>
      </c>
      <c r="J4" s="210">
        <v>1500912</v>
      </c>
      <c r="K4" s="210">
        <v>1427417</v>
      </c>
      <c r="L4" s="210">
        <v>1433611</v>
      </c>
      <c r="M4" s="210">
        <v>1503982</v>
      </c>
      <c r="N4" s="87">
        <f>SUM(B4:M4)</f>
        <v>18082700</v>
      </c>
    </row>
    <row r="5" spans="1:14">
      <c r="A5" s="78" t="s">
        <v>2</v>
      </c>
      <c r="B5" s="211">
        <v>71705</v>
      </c>
      <c r="C5" s="211">
        <v>65939</v>
      </c>
      <c r="D5" s="211">
        <v>49474</v>
      </c>
      <c r="E5" s="211">
        <v>35821</v>
      </c>
      <c r="F5" s="211">
        <v>29842</v>
      </c>
      <c r="G5" s="211">
        <v>31528</v>
      </c>
      <c r="H5" s="211">
        <v>43041</v>
      </c>
      <c r="I5" s="211">
        <v>41786</v>
      </c>
      <c r="J5" s="211">
        <v>34866</v>
      </c>
      <c r="K5" s="211">
        <v>37837</v>
      </c>
      <c r="L5" s="211">
        <v>40884</v>
      </c>
      <c r="M5" s="211">
        <v>55920</v>
      </c>
      <c r="N5" s="88">
        <f t="shared" ref="N5:N10" si="0">SUM(B5:M5)</f>
        <v>538643</v>
      </c>
    </row>
    <row r="6" spans="1:14">
      <c r="A6" s="78" t="s">
        <v>57</v>
      </c>
      <c r="B6" s="211">
        <v>1769</v>
      </c>
      <c r="C6" s="211">
        <v>921</v>
      </c>
      <c r="D6" s="211">
        <v>712</v>
      </c>
      <c r="E6" s="211">
        <v>562</v>
      </c>
      <c r="F6" s="211">
        <v>273</v>
      </c>
      <c r="G6" s="211">
        <v>118</v>
      </c>
      <c r="H6" s="211">
        <v>81</v>
      </c>
      <c r="I6" s="211">
        <v>109</v>
      </c>
      <c r="J6" s="211">
        <v>354</v>
      </c>
      <c r="K6" s="211">
        <v>672</v>
      </c>
      <c r="L6" s="211">
        <v>457</v>
      </c>
      <c r="M6" s="211">
        <v>933</v>
      </c>
      <c r="N6" s="88">
        <f t="shared" si="0"/>
        <v>6961</v>
      </c>
    </row>
    <row r="7" spans="1:14">
      <c r="A7" s="78" t="s">
        <v>58</v>
      </c>
      <c r="B7" s="211">
        <v>2787</v>
      </c>
      <c r="C7" s="211">
        <v>2358</v>
      </c>
      <c r="D7" s="211">
        <v>2132</v>
      </c>
      <c r="E7" s="211">
        <v>1157</v>
      </c>
      <c r="F7" s="211">
        <v>1246</v>
      </c>
      <c r="G7" s="211">
        <v>1761</v>
      </c>
      <c r="H7" s="211">
        <v>1503</v>
      </c>
      <c r="I7" s="211">
        <v>1279</v>
      </c>
      <c r="J7" s="211">
        <v>1634</v>
      </c>
      <c r="K7" s="211">
        <v>1665</v>
      </c>
      <c r="L7" s="211">
        <v>2408</v>
      </c>
      <c r="M7" s="211">
        <v>2838</v>
      </c>
      <c r="N7" s="88">
        <f t="shared" si="0"/>
        <v>22768</v>
      </c>
    </row>
    <row r="8" spans="1:14">
      <c r="A8" s="25" t="s">
        <v>60</v>
      </c>
      <c r="B8" s="211"/>
      <c r="C8" s="211">
        <v>0</v>
      </c>
      <c r="D8" s="211">
        <v>0</v>
      </c>
      <c r="E8" s="211">
        <v>4</v>
      </c>
      <c r="F8" s="211">
        <v>612</v>
      </c>
      <c r="G8" s="211">
        <v>329</v>
      </c>
      <c r="H8" s="211">
        <v>343</v>
      </c>
      <c r="I8" s="211">
        <v>262</v>
      </c>
      <c r="J8" s="211">
        <v>167</v>
      </c>
      <c r="K8" s="211">
        <v>1092</v>
      </c>
      <c r="L8" s="211">
        <v>1112</v>
      </c>
      <c r="M8" s="211">
        <v>1330</v>
      </c>
      <c r="N8" s="88">
        <f t="shared" si="0"/>
        <v>5251</v>
      </c>
    </row>
    <row r="9" spans="1:14" ht="15.75" thickBot="1">
      <c r="A9" s="25" t="s">
        <v>7</v>
      </c>
      <c r="B9" s="212">
        <v>430</v>
      </c>
      <c r="C9" s="212">
        <v>432</v>
      </c>
      <c r="D9" s="212">
        <v>391</v>
      </c>
      <c r="E9" s="212">
        <v>399</v>
      </c>
      <c r="F9" s="212">
        <v>321</v>
      </c>
      <c r="G9" s="212">
        <v>305</v>
      </c>
      <c r="H9" s="212">
        <v>253</v>
      </c>
      <c r="I9" s="212">
        <v>255</v>
      </c>
      <c r="J9" s="212">
        <v>278</v>
      </c>
      <c r="K9" s="212">
        <v>350</v>
      </c>
      <c r="L9" s="212">
        <v>329</v>
      </c>
      <c r="M9" s="212">
        <v>411</v>
      </c>
      <c r="N9" s="145">
        <f t="shared" si="0"/>
        <v>4154</v>
      </c>
    </row>
    <row r="10" spans="1:14" ht="16.5" thickTop="1" thickBot="1">
      <c r="A10" s="64" t="s">
        <v>45</v>
      </c>
      <c r="B10" s="69">
        <f>SUM(B4:B9)</f>
        <v>1850899</v>
      </c>
      <c r="C10" s="69">
        <f t="shared" ref="C10:M10" si="1">SUM(C4:C9)</f>
        <v>1721166</v>
      </c>
      <c r="D10" s="69">
        <f t="shared" si="1"/>
        <v>1596702</v>
      </c>
      <c r="E10" s="69">
        <f t="shared" si="1"/>
        <v>1257988</v>
      </c>
      <c r="F10" s="69">
        <f t="shared" si="1"/>
        <v>1285371</v>
      </c>
      <c r="G10" s="69">
        <f t="shared" si="1"/>
        <v>1428157</v>
      </c>
      <c r="H10" s="69">
        <f t="shared" si="1"/>
        <v>1795592</v>
      </c>
      <c r="I10" s="69">
        <f t="shared" si="1"/>
        <v>1673143</v>
      </c>
      <c r="J10" s="69">
        <f t="shared" si="1"/>
        <v>1538211</v>
      </c>
      <c r="K10" s="69">
        <f t="shared" si="1"/>
        <v>1469033</v>
      </c>
      <c r="L10" s="69">
        <f t="shared" si="1"/>
        <v>1478801</v>
      </c>
      <c r="M10" s="69">
        <f t="shared" si="1"/>
        <v>1565414</v>
      </c>
      <c r="N10" s="155">
        <f t="shared" si="0"/>
        <v>18660477</v>
      </c>
    </row>
    <row r="11" spans="1:14">
      <c r="A11" s="21"/>
      <c r="B11" s="159"/>
      <c r="C11" s="159"/>
      <c r="D11" s="159"/>
      <c r="E11" s="159"/>
      <c r="F11" s="159"/>
      <c r="G11" s="159"/>
      <c r="H11" s="159"/>
      <c r="I11" s="159"/>
      <c r="J11" s="159"/>
      <c r="K11" s="159"/>
      <c r="L11" s="159"/>
      <c r="M11" s="159"/>
      <c r="N11" s="159"/>
    </row>
    <row r="12" spans="1:14" ht="15.75" thickBot="1">
      <c r="A12" s="21" t="s">
        <v>8</v>
      </c>
      <c r="B12" s="159"/>
      <c r="C12" s="159"/>
      <c r="D12" s="159"/>
      <c r="E12" s="159"/>
      <c r="F12" s="159"/>
      <c r="G12" s="159"/>
      <c r="H12" s="159"/>
      <c r="I12" s="159"/>
      <c r="J12" s="159"/>
      <c r="K12" s="159"/>
      <c r="L12" s="159"/>
      <c r="M12" s="159"/>
      <c r="N12" s="159"/>
    </row>
    <row r="13" spans="1:14">
      <c r="A13" s="86" t="s">
        <v>97</v>
      </c>
      <c r="B13" s="213">
        <v>509</v>
      </c>
      <c r="C13" s="213">
        <v>545</v>
      </c>
      <c r="D13" s="213">
        <v>414</v>
      </c>
      <c r="E13" s="213">
        <v>348</v>
      </c>
      <c r="F13" s="213">
        <v>307</v>
      </c>
      <c r="G13" s="213">
        <v>461</v>
      </c>
      <c r="H13" s="213">
        <v>519</v>
      </c>
      <c r="I13" s="213">
        <v>566</v>
      </c>
      <c r="J13" s="213">
        <v>428</v>
      </c>
      <c r="K13" s="213">
        <v>385</v>
      </c>
      <c r="L13" s="213">
        <v>379</v>
      </c>
      <c r="M13" s="213">
        <v>392</v>
      </c>
      <c r="N13" s="196">
        <f>SUM(B13:M13)</f>
        <v>5253</v>
      </c>
    </row>
    <row r="14" spans="1:14">
      <c r="A14" s="25" t="s">
        <v>98</v>
      </c>
      <c r="B14" s="214">
        <v>7960</v>
      </c>
      <c r="C14" s="214">
        <v>8320</v>
      </c>
      <c r="D14" s="214">
        <v>5720</v>
      </c>
      <c r="E14" s="214">
        <v>4400</v>
      </c>
      <c r="F14" s="214">
        <v>2720</v>
      </c>
      <c r="G14" s="214">
        <v>120</v>
      </c>
      <c r="H14" s="214">
        <v>0</v>
      </c>
      <c r="I14" s="214">
        <v>0</v>
      </c>
      <c r="J14" s="214">
        <v>160</v>
      </c>
      <c r="K14" s="214">
        <v>1360</v>
      </c>
      <c r="L14" s="214">
        <v>3840</v>
      </c>
      <c r="M14" s="214">
        <v>5720</v>
      </c>
      <c r="N14" s="197">
        <f t="shared" ref="N14:N18" si="2">SUM(B14:M14)</f>
        <v>40320</v>
      </c>
    </row>
    <row r="15" spans="1:14">
      <c r="A15" s="25" t="s">
        <v>85</v>
      </c>
      <c r="B15" s="214">
        <v>2315</v>
      </c>
      <c r="C15" s="214">
        <v>2545</v>
      </c>
      <c r="D15" s="214">
        <v>2113</v>
      </c>
      <c r="E15" s="214">
        <v>1157</v>
      </c>
      <c r="F15" s="214">
        <v>1628</v>
      </c>
      <c r="G15" s="214">
        <v>445</v>
      </c>
      <c r="H15" s="214">
        <v>355</v>
      </c>
      <c r="I15" s="214">
        <v>463</v>
      </c>
      <c r="J15" s="214">
        <v>911</v>
      </c>
      <c r="K15" s="214">
        <v>1670</v>
      </c>
      <c r="L15" s="214">
        <v>2191</v>
      </c>
      <c r="M15" s="214">
        <v>1945</v>
      </c>
      <c r="N15" s="197">
        <f t="shared" si="2"/>
        <v>17738</v>
      </c>
    </row>
    <row r="16" spans="1:14">
      <c r="A16" s="25" t="s">
        <v>99</v>
      </c>
      <c r="B16" s="214">
        <v>527</v>
      </c>
      <c r="C16" s="214">
        <v>529</v>
      </c>
      <c r="D16" s="214">
        <v>449</v>
      </c>
      <c r="E16" s="214">
        <v>489</v>
      </c>
      <c r="F16" s="214">
        <v>455</v>
      </c>
      <c r="G16" s="214">
        <v>452</v>
      </c>
      <c r="H16" s="214">
        <v>454</v>
      </c>
      <c r="I16" s="214">
        <v>521</v>
      </c>
      <c r="J16" s="214">
        <v>459</v>
      </c>
      <c r="K16" s="214">
        <v>467</v>
      </c>
      <c r="L16" s="214">
        <v>458</v>
      </c>
      <c r="M16" s="214">
        <v>414</v>
      </c>
      <c r="N16" s="197">
        <f t="shared" si="2"/>
        <v>5674</v>
      </c>
    </row>
    <row r="17" spans="1:14" ht="15.75" thickBot="1">
      <c r="A17" s="25" t="s">
        <v>100</v>
      </c>
      <c r="B17" s="215">
        <v>110600</v>
      </c>
      <c r="C17" s="215">
        <v>117800</v>
      </c>
      <c r="D17" s="215">
        <v>80800</v>
      </c>
      <c r="E17" s="215">
        <v>55400</v>
      </c>
      <c r="F17" s="215">
        <v>40600</v>
      </c>
      <c r="G17" s="215">
        <v>26200</v>
      </c>
      <c r="H17" s="215">
        <v>24200</v>
      </c>
      <c r="I17" s="215">
        <v>25800</v>
      </c>
      <c r="J17" s="215">
        <v>22000</v>
      </c>
      <c r="K17" s="215">
        <v>29600</v>
      </c>
      <c r="L17" s="215">
        <v>49000</v>
      </c>
      <c r="M17" s="215">
        <v>66000</v>
      </c>
      <c r="N17" s="198">
        <f t="shared" si="2"/>
        <v>648000</v>
      </c>
    </row>
    <row r="18" spans="1:14" ht="16.5" thickTop="1" thickBot="1">
      <c r="A18" s="72" t="s">
        <v>46</v>
      </c>
      <c r="B18" s="199">
        <f>SUM(B13:B17)</f>
        <v>121911</v>
      </c>
      <c r="C18" s="199">
        <f t="shared" ref="C18:M18" si="3">SUM(C13:C17)</f>
        <v>129739</v>
      </c>
      <c r="D18" s="199">
        <f t="shared" si="3"/>
        <v>89496</v>
      </c>
      <c r="E18" s="199">
        <f t="shared" si="3"/>
        <v>61794</v>
      </c>
      <c r="F18" s="199">
        <f t="shared" si="3"/>
        <v>45710</v>
      </c>
      <c r="G18" s="199">
        <f t="shared" si="3"/>
        <v>27678</v>
      </c>
      <c r="H18" s="199">
        <f t="shared" si="3"/>
        <v>25528</v>
      </c>
      <c r="I18" s="199">
        <f t="shared" si="3"/>
        <v>27350</v>
      </c>
      <c r="J18" s="199">
        <f t="shared" si="3"/>
        <v>23958</v>
      </c>
      <c r="K18" s="199">
        <f t="shared" si="3"/>
        <v>33482</v>
      </c>
      <c r="L18" s="199">
        <f t="shared" si="3"/>
        <v>55868</v>
      </c>
      <c r="M18" s="199">
        <f t="shared" si="3"/>
        <v>74471</v>
      </c>
      <c r="N18" s="216">
        <f t="shared" si="2"/>
        <v>716985</v>
      </c>
    </row>
    <row r="19" spans="1:14" ht="45" thickTop="1" thickBot="1">
      <c r="A19" s="73" t="s">
        <v>54</v>
      </c>
      <c r="B19" s="157">
        <f>B10+B18</f>
        <v>1972810</v>
      </c>
      <c r="C19" s="157">
        <f t="shared" ref="C19:N19" si="4">C10+C18</f>
        <v>1850905</v>
      </c>
      <c r="D19" s="157">
        <f t="shared" si="4"/>
        <v>1686198</v>
      </c>
      <c r="E19" s="157">
        <f t="shared" si="4"/>
        <v>1319782</v>
      </c>
      <c r="F19" s="157">
        <f t="shared" si="4"/>
        <v>1331081</v>
      </c>
      <c r="G19" s="157">
        <f t="shared" si="4"/>
        <v>1455835</v>
      </c>
      <c r="H19" s="157">
        <f t="shared" si="4"/>
        <v>1821120</v>
      </c>
      <c r="I19" s="157">
        <f t="shared" si="4"/>
        <v>1700493</v>
      </c>
      <c r="J19" s="157">
        <f t="shared" si="4"/>
        <v>1562169</v>
      </c>
      <c r="K19" s="157">
        <f t="shared" si="4"/>
        <v>1502515</v>
      </c>
      <c r="L19" s="157">
        <f t="shared" si="4"/>
        <v>1534669</v>
      </c>
      <c r="M19" s="157">
        <f t="shared" si="4"/>
        <v>1639885</v>
      </c>
      <c r="N19" s="157">
        <f t="shared" si="4"/>
        <v>19377462</v>
      </c>
    </row>
    <row r="20" spans="1:14">
      <c r="A20" s="76"/>
      <c r="B20" s="204"/>
      <c r="C20" s="204"/>
      <c r="D20" s="204"/>
      <c r="E20" s="204"/>
      <c r="F20" s="204"/>
      <c r="G20" s="204"/>
      <c r="H20" s="204"/>
      <c r="I20" s="204"/>
      <c r="J20" s="204"/>
      <c r="K20" s="204"/>
      <c r="L20" s="204"/>
      <c r="M20" s="204"/>
      <c r="N20" s="204"/>
    </row>
    <row r="21" spans="1:14" ht="15.75" thickBot="1">
      <c r="A21" s="76" t="s">
        <v>20</v>
      </c>
      <c r="B21" s="304"/>
      <c r="C21" s="304"/>
      <c r="D21" s="304"/>
      <c r="E21" s="304"/>
      <c r="F21" s="304"/>
      <c r="G21" s="304"/>
      <c r="H21" s="304"/>
      <c r="I21" s="304"/>
      <c r="J21" s="304"/>
      <c r="K21" s="304"/>
      <c r="L21" s="304"/>
      <c r="M21" s="304"/>
      <c r="N21" s="304"/>
    </row>
    <row r="22" spans="1:14" ht="15.75" thickBot="1">
      <c r="A22" s="308" t="s">
        <v>145</v>
      </c>
      <c r="B22" s="312">
        <v>34200</v>
      </c>
      <c r="C22" s="312">
        <v>40200</v>
      </c>
      <c r="D22" s="312">
        <v>36300</v>
      </c>
      <c r="E22" s="312">
        <v>25800</v>
      </c>
      <c r="F22" s="312">
        <v>15300</v>
      </c>
      <c r="G22" s="312">
        <v>16500</v>
      </c>
      <c r="H22" s="312">
        <v>20700</v>
      </c>
      <c r="I22" s="312">
        <v>27300</v>
      </c>
      <c r="J22" s="312">
        <v>28500</v>
      </c>
      <c r="K22" s="312">
        <v>34200</v>
      </c>
      <c r="L22" s="312">
        <v>36300</v>
      </c>
      <c r="M22" s="312">
        <v>36600</v>
      </c>
      <c r="N22" s="309">
        <f>SUM(B22:M22)</f>
        <v>351900</v>
      </c>
    </row>
    <row r="23" spans="1:14" ht="15.75" thickBot="1">
      <c r="A23" s="310" t="s">
        <v>146</v>
      </c>
      <c r="B23" s="305" t="s">
        <v>42</v>
      </c>
      <c r="C23" s="305" t="s">
        <v>42</v>
      </c>
      <c r="D23" s="305" t="s">
        <v>42</v>
      </c>
      <c r="E23" s="305" t="s">
        <v>42</v>
      </c>
      <c r="F23" s="305" t="s">
        <v>42</v>
      </c>
      <c r="G23" s="305" t="s">
        <v>42</v>
      </c>
      <c r="H23" s="305" t="s">
        <v>42</v>
      </c>
      <c r="I23" s="305" t="s">
        <v>42</v>
      </c>
      <c r="J23" s="305" t="s">
        <v>42</v>
      </c>
      <c r="K23" s="305" t="s">
        <v>42</v>
      </c>
      <c r="L23" s="305">
        <v>14677</v>
      </c>
      <c r="M23" s="305">
        <v>12163</v>
      </c>
      <c r="N23" s="309">
        <f>SUM(B23:M23)</f>
        <v>26840</v>
      </c>
    </row>
    <row r="24" spans="1:14" ht="15.75" thickBot="1">
      <c r="A24" s="306" t="s">
        <v>147</v>
      </c>
      <c r="B24" s="305" t="s">
        <v>42</v>
      </c>
      <c r="C24" s="305" t="s">
        <v>42</v>
      </c>
      <c r="D24" s="305" t="s">
        <v>42</v>
      </c>
      <c r="E24" s="305" t="s">
        <v>42</v>
      </c>
      <c r="F24" s="305" t="s">
        <v>42</v>
      </c>
      <c r="G24" s="305" t="s">
        <v>42</v>
      </c>
      <c r="H24" s="305" t="s">
        <v>42</v>
      </c>
      <c r="I24" s="307">
        <f>20+135+19</f>
        <v>174</v>
      </c>
      <c r="J24" s="307">
        <f>57+241+12</f>
        <v>310</v>
      </c>
      <c r="K24" s="307">
        <f>28+196+13</f>
        <v>237</v>
      </c>
      <c r="L24" s="307">
        <f>16+116+69</f>
        <v>201</v>
      </c>
      <c r="M24" s="307">
        <f>40+53+64+306</f>
        <v>463</v>
      </c>
      <c r="N24" s="309">
        <f>SUM(B24:M24)</f>
        <v>1385</v>
      </c>
    </row>
    <row r="25" spans="1:14" ht="16.5" thickTop="1" thickBot="1">
      <c r="A25" s="311" t="s">
        <v>144</v>
      </c>
      <c r="B25" s="157">
        <f t="shared" ref="B25:M25" si="5">SUM(B22:B24)</f>
        <v>34200</v>
      </c>
      <c r="C25" s="157">
        <f t="shared" si="5"/>
        <v>40200</v>
      </c>
      <c r="D25" s="157">
        <f t="shared" si="5"/>
        <v>36300</v>
      </c>
      <c r="E25" s="157">
        <f t="shared" si="5"/>
        <v>25800</v>
      </c>
      <c r="F25" s="157">
        <f t="shared" si="5"/>
        <v>15300</v>
      </c>
      <c r="G25" s="157">
        <f t="shared" si="5"/>
        <v>16500</v>
      </c>
      <c r="H25" s="157">
        <f t="shared" si="5"/>
        <v>20700</v>
      </c>
      <c r="I25" s="157">
        <f t="shared" si="5"/>
        <v>27474</v>
      </c>
      <c r="J25" s="157">
        <f t="shared" si="5"/>
        <v>28810</v>
      </c>
      <c r="K25" s="157">
        <f t="shared" si="5"/>
        <v>34437</v>
      </c>
      <c r="L25" s="157">
        <f t="shared" si="5"/>
        <v>51178</v>
      </c>
      <c r="M25" s="157">
        <f t="shared" si="5"/>
        <v>49226</v>
      </c>
      <c r="N25" s="160">
        <f>SUM(B25:M25)</f>
        <v>380125</v>
      </c>
    </row>
    <row r="26" spans="1:14">
      <c r="A26" s="21"/>
      <c r="B26" s="159"/>
      <c r="C26" s="159"/>
      <c r="D26" s="159"/>
      <c r="E26" s="159"/>
      <c r="F26" s="159"/>
      <c r="G26" s="159"/>
      <c r="H26" s="159"/>
      <c r="I26" s="159"/>
      <c r="J26" s="159"/>
      <c r="K26" s="159"/>
      <c r="L26" s="159"/>
      <c r="M26" s="159"/>
      <c r="N26" s="159"/>
    </row>
    <row r="27" spans="1:14" ht="15.75" thickBot="1">
      <c r="A27" s="17"/>
      <c r="B27" s="159"/>
      <c r="C27" s="159"/>
      <c r="D27" s="159"/>
      <c r="E27" s="159"/>
      <c r="F27" s="159"/>
      <c r="G27" s="159"/>
      <c r="H27" s="159"/>
      <c r="I27" s="159"/>
      <c r="J27" s="159"/>
      <c r="K27" s="159"/>
      <c r="L27" s="159"/>
      <c r="M27" s="159"/>
      <c r="N27" s="159"/>
    </row>
    <row r="28" spans="1:14" ht="15.75" thickBot="1">
      <c r="A28" s="18" t="s">
        <v>48</v>
      </c>
      <c r="B28" s="200">
        <f>B19+B25</f>
        <v>2007010</v>
      </c>
      <c r="C28" s="200">
        <f t="shared" ref="C28:N28" si="6">C19+C25</f>
        <v>1891105</v>
      </c>
      <c r="D28" s="200">
        <f t="shared" si="6"/>
        <v>1722498</v>
      </c>
      <c r="E28" s="200">
        <f t="shared" si="6"/>
        <v>1345582</v>
      </c>
      <c r="F28" s="200">
        <f t="shared" si="6"/>
        <v>1346381</v>
      </c>
      <c r="G28" s="200">
        <f t="shared" si="6"/>
        <v>1472335</v>
      </c>
      <c r="H28" s="200">
        <f t="shared" si="6"/>
        <v>1841820</v>
      </c>
      <c r="I28" s="200">
        <f t="shared" si="6"/>
        <v>1727967</v>
      </c>
      <c r="J28" s="200">
        <f t="shared" si="6"/>
        <v>1590979</v>
      </c>
      <c r="K28" s="200">
        <f t="shared" si="6"/>
        <v>1536952</v>
      </c>
      <c r="L28" s="200">
        <f t="shared" si="6"/>
        <v>1585847</v>
      </c>
      <c r="M28" s="200">
        <f t="shared" si="6"/>
        <v>1689111</v>
      </c>
      <c r="N28" s="200">
        <f t="shared" si="6"/>
        <v>19757587</v>
      </c>
    </row>
    <row r="29" spans="1:14">
      <c r="A29" s="17"/>
      <c r="B29" s="17"/>
      <c r="C29" s="17"/>
      <c r="D29" s="17"/>
      <c r="E29" s="17"/>
      <c r="F29" s="17"/>
      <c r="G29" s="17"/>
      <c r="H29" s="17"/>
      <c r="I29" s="17"/>
      <c r="J29" s="17"/>
      <c r="K29" s="17"/>
      <c r="L29" s="17"/>
      <c r="M29" s="17"/>
      <c r="N29" s="17"/>
    </row>
    <row r="31" spans="1:14">
      <c r="J31" s="31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0"/>
  <sheetViews>
    <sheetView topLeftCell="A16" workbookViewId="0">
      <selection activeCell="N24" sqref="N24"/>
    </sheetView>
  </sheetViews>
  <sheetFormatPr defaultColWidth="8.85546875" defaultRowHeight="15"/>
  <cols>
    <col min="1" max="1" width="28.28515625" customWidth="1"/>
    <col min="2" max="13" width="12.140625" style="330" customWidth="1"/>
    <col min="14" max="14" width="12.85546875" style="330" customWidth="1"/>
  </cols>
  <sheetData>
    <row r="1" spans="1:14" ht="15.75" thickBot="1">
      <c r="A1" s="66" t="s">
        <v>0</v>
      </c>
      <c r="B1" s="327">
        <v>44197</v>
      </c>
      <c r="C1" s="327">
        <v>44228</v>
      </c>
      <c r="D1" s="327">
        <v>44256</v>
      </c>
      <c r="E1" s="327">
        <v>44287</v>
      </c>
      <c r="F1" s="327">
        <v>44317</v>
      </c>
      <c r="G1" s="327">
        <v>44348</v>
      </c>
      <c r="H1" s="327">
        <v>44378</v>
      </c>
      <c r="I1" s="327">
        <v>44409</v>
      </c>
      <c r="J1" s="327">
        <v>44440</v>
      </c>
      <c r="K1" s="327">
        <v>44470</v>
      </c>
      <c r="L1" s="327">
        <v>44501</v>
      </c>
      <c r="M1" s="327">
        <v>44531</v>
      </c>
      <c r="N1" s="328" t="s">
        <v>130</v>
      </c>
    </row>
    <row r="2" spans="1:14">
      <c r="A2" s="19"/>
      <c r="B2" s="329"/>
      <c r="D2" s="329"/>
      <c r="E2" s="329"/>
      <c r="F2" s="329"/>
      <c r="G2" s="329"/>
      <c r="H2" s="329"/>
      <c r="I2" s="329"/>
      <c r="J2" s="329"/>
      <c r="K2" s="329"/>
      <c r="L2" s="329"/>
      <c r="M2" s="329"/>
      <c r="N2" s="331"/>
    </row>
    <row r="3" spans="1:14" ht="15.75" thickBot="1">
      <c r="A3" s="21" t="s">
        <v>1</v>
      </c>
      <c r="B3" s="329"/>
      <c r="C3" s="329"/>
      <c r="D3" s="329"/>
      <c r="E3" s="329"/>
      <c r="F3" s="329"/>
      <c r="G3" s="329"/>
      <c r="H3" s="329"/>
      <c r="I3" s="329"/>
      <c r="J3" s="329"/>
      <c r="K3" s="329"/>
      <c r="L3" s="329"/>
      <c r="M3" s="329"/>
      <c r="N3" s="331"/>
    </row>
    <row r="4" spans="1:14" ht="30">
      <c r="A4" s="28" t="s">
        <v>55</v>
      </c>
      <c r="B4" s="317">
        <v>1501288</v>
      </c>
      <c r="C4" s="317">
        <v>1415553</v>
      </c>
      <c r="D4" s="317">
        <v>1512197</v>
      </c>
      <c r="E4" s="317">
        <v>1359651</v>
      </c>
      <c r="F4" s="317">
        <v>1321832</v>
      </c>
      <c r="G4" s="352">
        <v>1538815</v>
      </c>
      <c r="H4" s="351">
        <v>1621242</v>
      </c>
      <c r="I4" s="351">
        <v>1875670</v>
      </c>
      <c r="J4" s="351">
        <v>1593989.28</v>
      </c>
      <c r="K4" s="351">
        <v>1565028</v>
      </c>
      <c r="L4" s="351">
        <v>1545011</v>
      </c>
      <c r="M4" s="351">
        <v>1569764</v>
      </c>
      <c r="N4" s="321">
        <f>SUM(B4:M4)</f>
        <v>18420040.280000001</v>
      </c>
    </row>
    <row r="5" spans="1:14">
      <c r="A5" s="78" t="s">
        <v>2</v>
      </c>
      <c r="B5" s="318">
        <v>60948</v>
      </c>
      <c r="C5" s="318">
        <v>59777</v>
      </c>
      <c r="D5" s="318">
        <v>49878</v>
      </c>
      <c r="E5" s="318">
        <v>35839</v>
      </c>
      <c r="F5" s="318">
        <v>35782.800000000003</v>
      </c>
      <c r="G5" s="318">
        <v>38465.4</v>
      </c>
      <c r="H5" s="318">
        <v>38543.160000000003</v>
      </c>
      <c r="I5" s="332">
        <v>44075</v>
      </c>
      <c r="J5" s="332">
        <v>39482</v>
      </c>
      <c r="K5" s="332">
        <v>46276.32</v>
      </c>
      <c r="L5" s="332">
        <v>46774</v>
      </c>
      <c r="M5" s="332">
        <v>55806</v>
      </c>
      <c r="N5" s="322">
        <f t="shared" ref="N5:N9" si="0">SUM(B5:M5)</f>
        <v>551646.67999999993</v>
      </c>
    </row>
    <row r="6" spans="1:14">
      <c r="A6" s="78" t="s">
        <v>57</v>
      </c>
      <c r="B6" s="318">
        <v>857</v>
      </c>
      <c r="C6" s="318">
        <v>963</v>
      </c>
      <c r="D6" s="318">
        <v>548</v>
      </c>
      <c r="E6" s="318">
        <v>73</v>
      </c>
      <c r="F6" s="318">
        <v>101</v>
      </c>
      <c r="G6" s="318">
        <v>75</v>
      </c>
      <c r="H6" s="318">
        <v>70</v>
      </c>
      <c r="I6" s="318">
        <v>69</v>
      </c>
      <c r="J6" s="318">
        <v>76</v>
      </c>
      <c r="K6" s="318">
        <v>69</v>
      </c>
      <c r="L6" s="318">
        <v>70</v>
      </c>
      <c r="M6" s="318">
        <v>84</v>
      </c>
      <c r="N6" s="322">
        <f t="shared" si="0"/>
        <v>3055</v>
      </c>
    </row>
    <row r="7" spans="1:14">
      <c r="A7" s="78" t="s">
        <v>58</v>
      </c>
      <c r="B7" s="318">
        <v>2097</v>
      </c>
      <c r="C7" s="318">
        <v>2542</v>
      </c>
      <c r="D7" s="318">
        <v>1638</v>
      </c>
      <c r="E7" s="318">
        <v>1640</v>
      </c>
      <c r="F7" s="318">
        <v>2279</v>
      </c>
      <c r="G7" s="318">
        <v>1695</v>
      </c>
      <c r="H7" s="318">
        <v>1616</v>
      </c>
      <c r="I7" s="318">
        <v>1668</v>
      </c>
      <c r="J7" s="318">
        <v>1375</v>
      </c>
      <c r="K7" s="318">
        <v>1561</v>
      </c>
      <c r="L7" s="318">
        <v>2079</v>
      </c>
      <c r="M7" s="318">
        <v>2523</v>
      </c>
      <c r="N7" s="322">
        <f t="shared" si="0"/>
        <v>22713</v>
      </c>
    </row>
    <row r="8" spans="1:14">
      <c r="A8" s="25" t="s">
        <v>60</v>
      </c>
      <c r="B8" s="318">
        <v>1133</v>
      </c>
      <c r="C8" s="319">
        <v>1131</v>
      </c>
      <c r="D8" s="318">
        <v>1307</v>
      </c>
      <c r="E8" s="318">
        <v>1144</v>
      </c>
      <c r="F8" s="318">
        <v>491</v>
      </c>
      <c r="G8" s="318">
        <v>431</v>
      </c>
      <c r="H8" s="318">
        <v>247</v>
      </c>
      <c r="I8" s="318">
        <v>287</v>
      </c>
      <c r="J8" s="318">
        <v>192</v>
      </c>
      <c r="K8" s="318">
        <v>185</v>
      </c>
      <c r="L8" s="318">
        <v>1199</v>
      </c>
      <c r="M8" s="318">
        <v>1362</v>
      </c>
      <c r="N8" s="322">
        <f t="shared" si="0"/>
        <v>9109</v>
      </c>
    </row>
    <row r="9" spans="1:14" ht="15.75" thickBot="1">
      <c r="A9" s="25" t="s">
        <v>7</v>
      </c>
      <c r="B9" s="320">
        <v>397</v>
      </c>
      <c r="C9" s="320">
        <v>404</v>
      </c>
      <c r="D9" s="320">
        <v>291</v>
      </c>
      <c r="E9" s="320">
        <v>67</v>
      </c>
      <c r="F9" s="320">
        <v>42</v>
      </c>
      <c r="G9" s="320">
        <v>24</v>
      </c>
      <c r="H9" s="320">
        <v>20</v>
      </c>
      <c r="I9" s="320">
        <v>16</v>
      </c>
      <c r="J9" s="320">
        <v>30</v>
      </c>
      <c r="K9" s="320">
        <v>49</v>
      </c>
      <c r="L9" s="320">
        <v>46</v>
      </c>
      <c r="M9" s="320">
        <v>20</v>
      </c>
      <c r="N9" s="323">
        <f t="shared" si="0"/>
        <v>1406</v>
      </c>
    </row>
    <row r="10" spans="1:14" ht="16.5" thickTop="1" thickBot="1">
      <c r="A10" s="64" t="s">
        <v>45</v>
      </c>
      <c r="B10" s="324">
        <f>SUM(B4:B9)</f>
        <v>1566720</v>
      </c>
      <c r="C10" s="324">
        <f t="shared" ref="C10:M10" si="1">SUM(C4:C9)</f>
        <v>1480370</v>
      </c>
      <c r="D10" s="324">
        <f t="shared" si="1"/>
        <v>1565859</v>
      </c>
      <c r="E10" s="324">
        <f t="shared" si="1"/>
        <v>1398414</v>
      </c>
      <c r="F10" s="324">
        <f t="shared" si="1"/>
        <v>1360527.8</v>
      </c>
      <c r="G10" s="324">
        <f t="shared" si="1"/>
        <v>1579505.4</v>
      </c>
      <c r="H10" s="324">
        <f t="shared" si="1"/>
        <v>1661738.16</v>
      </c>
      <c r="I10" s="324">
        <f t="shared" si="1"/>
        <v>1921785</v>
      </c>
      <c r="J10" s="324">
        <f t="shared" si="1"/>
        <v>1635144.28</v>
      </c>
      <c r="K10" s="324">
        <f t="shared" si="1"/>
        <v>1613168.32</v>
      </c>
      <c r="L10" s="324">
        <f t="shared" si="1"/>
        <v>1595179</v>
      </c>
      <c r="M10" s="324">
        <f t="shared" si="1"/>
        <v>1629559</v>
      </c>
      <c r="N10" s="325">
        <f t="shared" ref="N10" si="2">SUM(B10:M10)</f>
        <v>19007969.960000001</v>
      </c>
    </row>
    <row r="11" spans="1:14">
      <c r="A11" s="21"/>
      <c r="B11" s="333"/>
      <c r="C11" s="333"/>
      <c r="D11" s="333"/>
      <c r="E11" s="333"/>
      <c r="F11" s="333"/>
      <c r="G11" s="333"/>
      <c r="H11" s="333"/>
      <c r="I11" s="333"/>
      <c r="J11" s="333"/>
      <c r="K11" s="333"/>
      <c r="L11" s="333"/>
      <c r="M11" s="333"/>
      <c r="N11" s="333"/>
    </row>
    <row r="12" spans="1:14" ht="15.75" thickBot="1">
      <c r="A12" s="21" t="s">
        <v>8</v>
      </c>
      <c r="B12" s="333"/>
      <c r="C12" s="333"/>
      <c r="D12" s="333"/>
      <c r="E12" s="333"/>
      <c r="F12" s="333"/>
      <c r="G12" s="333"/>
      <c r="H12" s="333"/>
      <c r="I12" s="333"/>
      <c r="J12" s="333"/>
      <c r="K12" s="333"/>
      <c r="L12" s="333"/>
      <c r="M12" s="333"/>
      <c r="N12" s="333"/>
    </row>
    <row r="13" spans="1:14">
      <c r="A13" s="86" t="s">
        <v>97</v>
      </c>
      <c r="B13" s="317">
        <v>436</v>
      </c>
      <c r="C13" s="317">
        <v>491</v>
      </c>
      <c r="D13" s="317">
        <v>381</v>
      </c>
      <c r="E13" s="317">
        <v>338</v>
      </c>
      <c r="F13" s="317">
        <v>461</v>
      </c>
      <c r="G13" s="317">
        <v>504</v>
      </c>
      <c r="H13" s="317">
        <v>413</v>
      </c>
      <c r="I13" s="317">
        <v>220</v>
      </c>
      <c r="J13" s="317">
        <v>329</v>
      </c>
      <c r="K13" s="317">
        <v>340</v>
      </c>
      <c r="L13" s="317">
        <v>409</v>
      </c>
      <c r="M13" s="317">
        <v>480</v>
      </c>
      <c r="N13" s="321">
        <f>SUM(B13:M13)</f>
        <v>4802</v>
      </c>
    </row>
    <row r="14" spans="1:14">
      <c r="A14" s="25" t="s">
        <v>98</v>
      </c>
      <c r="B14" s="318">
        <v>6800</v>
      </c>
      <c r="C14" s="318">
        <v>9400</v>
      </c>
      <c r="D14" s="318">
        <v>5760</v>
      </c>
      <c r="E14" s="318">
        <v>3040</v>
      </c>
      <c r="F14" s="318">
        <v>3080</v>
      </c>
      <c r="G14" s="318">
        <v>1440</v>
      </c>
      <c r="H14" s="318">
        <v>1400</v>
      </c>
      <c r="I14" s="318">
        <v>1401</v>
      </c>
      <c r="J14" s="318">
        <v>600</v>
      </c>
      <c r="K14" s="318">
        <v>2280</v>
      </c>
      <c r="L14" s="318">
        <v>4519</v>
      </c>
      <c r="M14" s="318">
        <v>7760</v>
      </c>
      <c r="N14" s="322">
        <f t="shared" ref="N14:N19" si="3">SUM(B14:M14)</f>
        <v>47480</v>
      </c>
    </row>
    <row r="15" spans="1:14">
      <c r="A15" s="25" t="s">
        <v>85</v>
      </c>
      <c r="B15" s="318">
        <v>2142</v>
      </c>
      <c r="C15" s="318">
        <v>2295</v>
      </c>
      <c r="D15" s="318">
        <v>1930</v>
      </c>
      <c r="E15" s="318">
        <v>1707</v>
      </c>
      <c r="F15" s="318">
        <v>1712</v>
      </c>
      <c r="G15" s="318">
        <v>463</v>
      </c>
      <c r="H15" s="318">
        <v>613</v>
      </c>
      <c r="I15" s="318">
        <v>520</v>
      </c>
      <c r="J15" s="318">
        <v>716</v>
      </c>
      <c r="K15" s="318">
        <v>1250</v>
      </c>
      <c r="L15" s="318">
        <v>2085</v>
      </c>
      <c r="M15" s="318">
        <v>2368</v>
      </c>
      <c r="N15" s="322">
        <f t="shared" si="3"/>
        <v>17801</v>
      </c>
    </row>
    <row r="16" spans="1:14">
      <c r="A16" s="25" t="s">
        <v>99</v>
      </c>
      <c r="B16" s="318">
        <v>492</v>
      </c>
      <c r="C16" s="318">
        <v>486</v>
      </c>
      <c r="D16" s="318">
        <v>433</v>
      </c>
      <c r="E16" s="318">
        <v>451</v>
      </c>
      <c r="F16" s="318">
        <v>653</v>
      </c>
      <c r="G16" s="318">
        <v>647</v>
      </c>
      <c r="H16" s="318">
        <v>445</v>
      </c>
      <c r="I16" s="318">
        <v>450</v>
      </c>
      <c r="J16" s="318">
        <v>486</v>
      </c>
      <c r="K16" s="318">
        <v>432</v>
      </c>
      <c r="L16" s="318">
        <v>395</v>
      </c>
      <c r="M16" s="318">
        <v>506</v>
      </c>
      <c r="N16" s="322">
        <f t="shared" si="3"/>
        <v>5876</v>
      </c>
    </row>
    <row r="17" spans="1:14">
      <c r="A17" s="25" t="s">
        <v>100</v>
      </c>
      <c r="B17" s="318">
        <v>79800</v>
      </c>
      <c r="C17" s="318">
        <v>106800</v>
      </c>
      <c r="D17" s="318">
        <v>75400</v>
      </c>
      <c r="E17" s="318">
        <v>46000</v>
      </c>
      <c r="F17" s="318">
        <v>38497.699999999997</v>
      </c>
      <c r="G17" s="318">
        <v>22631.200000000001</v>
      </c>
      <c r="H17" s="335">
        <v>23118.7</v>
      </c>
      <c r="I17" s="318">
        <v>25270.9</v>
      </c>
      <c r="J17" s="318">
        <v>27260</v>
      </c>
      <c r="K17" s="318">
        <v>34552</v>
      </c>
      <c r="L17" s="336">
        <v>56325</v>
      </c>
      <c r="M17" s="318">
        <v>89565</v>
      </c>
      <c r="N17" s="322">
        <f t="shared" si="3"/>
        <v>625220.5</v>
      </c>
    </row>
    <row r="18" spans="1:14" ht="15.75" thickBot="1">
      <c r="A18" s="25" t="s">
        <v>148</v>
      </c>
      <c r="B18" s="320" t="s">
        <v>42</v>
      </c>
      <c r="C18" s="320" t="s">
        <v>42</v>
      </c>
      <c r="D18" s="320" t="s">
        <v>42</v>
      </c>
      <c r="E18" s="320" t="s">
        <v>42</v>
      </c>
      <c r="F18" s="320" t="s">
        <v>42</v>
      </c>
      <c r="G18" s="320" t="s">
        <v>149</v>
      </c>
      <c r="H18" s="320">
        <v>10</v>
      </c>
      <c r="I18" s="320">
        <v>14</v>
      </c>
      <c r="J18" s="320">
        <v>185</v>
      </c>
      <c r="K18" s="320">
        <v>316</v>
      </c>
      <c r="L18" s="320">
        <v>252</v>
      </c>
      <c r="M18" s="320">
        <v>298</v>
      </c>
      <c r="N18" s="323">
        <f t="shared" si="3"/>
        <v>1075</v>
      </c>
    </row>
    <row r="19" spans="1:14" ht="15.75" thickTop="1">
      <c r="A19" s="72" t="s">
        <v>46</v>
      </c>
      <c r="B19" s="356">
        <f>SUM(B13:B18)</f>
        <v>89670</v>
      </c>
      <c r="C19" s="356">
        <f t="shared" ref="C19:M19" si="4">SUM(C13:C18)</f>
        <v>119472</v>
      </c>
      <c r="D19" s="356">
        <f t="shared" si="4"/>
        <v>83904</v>
      </c>
      <c r="E19" s="356">
        <f t="shared" si="4"/>
        <v>51536</v>
      </c>
      <c r="F19" s="356">
        <f t="shared" si="4"/>
        <v>44403.7</v>
      </c>
      <c r="G19" s="356">
        <f t="shared" si="4"/>
        <v>25685.200000000001</v>
      </c>
      <c r="H19" s="356">
        <f t="shared" si="4"/>
        <v>25999.7</v>
      </c>
      <c r="I19" s="356">
        <f t="shared" si="4"/>
        <v>27875.9</v>
      </c>
      <c r="J19" s="356">
        <f t="shared" si="4"/>
        <v>29576</v>
      </c>
      <c r="K19" s="356">
        <f t="shared" si="4"/>
        <v>39170</v>
      </c>
      <c r="L19" s="356">
        <f t="shared" si="4"/>
        <v>63985</v>
      </c>
      <c r="M19" s="356">
        <f t="shared" si="4"/>
        <v>100977</v>
      </c>
      <c r="N19" s="357">
        <f t="shared" si="3"/>
        <v>702254.5</v>
      </c>
    </row>
    <row r="20" spans="1:14" ht="44.25" thickBot="1">
      <c r="A20" s="73" t="s">
        <v>54</v>
      </c>
      <c r="B20" s="354">
        <f>B10+B19</f>
        <v>1656390</v>
      </c>
      <c r="C20" s="354">
        <f t="shared" ref="C20:N20" si="5">C10+C19</f>
        <v>1599842</v>
      </c>
      <c r="D20" s="354">
        <f t="shared" si="5"/>
        <v>1649763</v>
      </c>
      <c r="E20" s="354">
        <f t="shared" si="5"/>
        <v>1449950</v>
      </c>
      <c r="F20" s="354">
        <f t="shared" si="5"/>
        <v>1404931.5</v>
      </c>
      <c r="G20" s="354">
        <f t="shared" si="5"/>
        <v>1605190.5999999999</v>
      </c>
      <c r="H20" s="354">
        <f t="shared" si="5"/>
        <v>1687737.8599999999</v>
      </c>
      <c r="I20" s="354">
        <f t="shared" si="5"/>
        <v>1949660.9</v>
      </c>
      <c r="J20" s="354">
        <f t="shared" si="5"/>
        <v>1664720.28</v>
      </c>
      <c r="K20" s="354">
        <f t="shared" si="5"/>
        <v>1652338.32</v>
      </c>
      <c r="L20" s="354">
        <f t="shared" si="5"/>
        <v>1659164</v>
      </c>
      <c r="M20" s="354">
        <f t="shared" si="5"/>
        <v>1730536</v>
      </c>
      <c r="N20" s="355">
        <f t="shared" si="5"/>
        <v>19710224.460000001</v>
      </c>
    </row>
    <row r="21" spans="1:14">
      <c r="A21" s="76"/>
      <c r="B21" s="340"/>
      <c r="C21" s="340"/>
      <c r="D21" s="340"/>
      <c r="E21" s="340"/>
      <c r="F21" s="340"/>
      <c r="G21" s="340"/>
      <c r="H21" s="340"/>
      <c r="I21" s="340"/>
      <c r="J21" s="340"/>
      <c r="K21" s="340"/>
      <c r="L21" s="340"/>
      <c r="M21" s="340"/>
      <c r="N21" s="340"/>
    </row>
    <row r="22" spans="1:14" ht="15.75" thickBot="1">
      <c r="A22" s="76" t="s">
        <v>20</v>
      </c>
      <c r="B22" s="341"/>
      <c r="C22" s="341"/>
      <c r="D22" s="341"/>
      <c r="E22" s="341"/>
      <c r="F22" s="341"/>
      <c r="G22" s="341"/>
      <c r="H22" s="341"/>
      <c r="I22" s="341"/>
      <c r="J22" s="341"/>
      <c r="K22" s="341"/>
      <c r="L22" s="341"/>
      <c r="M22" s="341"/>
      <c r="N22" s="341"/>
    </row>
    <row r="23" spans="1:14">
      <c r="A23" s="308" t="s">
        <v>145</v>
      </c>
      <c r="B23" s="342">
        <v>35700</v>
      </c>
      <c r="C23" s="342">
        <v>34800</v>
      </c>
      <c r="D23" s="342">
        <v>31200</v>
      </c>
      <c r="E23" s="342">
        <v>32400</v>
      </c>
      <c r="F23" s="326">
        <v>27900</v>
      </c>
      <c r="G23" s="326">
        <v>30000</v>
      </c>
      <c r="H23" s="326">
        <v>30600</v>
      </c>
      <c r="I23" s="326">
        <v>30600</v>
      </c>
      <c r="J23" s="326">
        <v>4440</v>
      </c>
      <c r="K23" s="326">
        <v>41700</v>
      </c>
      <c r="L23" s="326">
        <v>40500</v>
      </c>
      <c r="M23" s="326">
        <v>41400</v>
      </c>
      <c r="N23" s="343">
        <f>SUM(B23:M23)</f>
        <v>381240</v>
      </c>
    </row>
    <row r="24" spans="1:14">
      <c r="A24" s="310" t="s">
        <v>146</v>
      </c>
      <c r="B24" s="359">
        <v>16214</v>
      </c>
      <c r="C24" s="344">
        <v>19478</v>
      </c>
      <c r="D24" s="344">
        <v>31878</v>
      </c>
      <c r="E24" s="344">
        <v>21412</v>
      </c>
      <c r="F24" s="344">
        <v>30084</v>
      </c>
      <c r="G24" s="344">
        <v>9305</v>
      </c>
      <c r="H24" s="344">
        <v>9305</v>
      </c>
      <c r="I24" s="344">
        <v>24193</v>
      </c>
      <c r="J24" s="344">
        <v>24648</v>
      </c>
      <c r="K24" s="344">
        <v>41300</v>
      </c>
      <c r="L24" s="344">
        <v>10723</v>
      </c>
      <c r="M24" s="344">
        <v>25466</v>
      </c>
      <c r="N24" s="345">
        <f>SUM(C24:M24)</f>
        <v>247792</v>
      </c>
    </row>
    <row r="25" spans="1:14" ht="15.75" thickBot="1">
      <c r="A25" s="353" t="s">
        <v>147</v>
      </c>
      <c r="B25" s="346">
        <f>0+58+65+66+332</f>
        <v>521</v>
      </c>
      <c r="C25" s="346">
        <f>0+70+81+84+292</f>
        <v>527</v>
      </c>
      <c r="D25" s="346">
        <f>0+45+55+58+133</f>
        <v>291</v>
      </c>
      <c r="E25" s="346">
        <f>0+22+33+43+116</f>
        <v>214</v>
      </c>
      <c r="F25" s="346">
        <f>0+63+26+40+107</f>
        <v>236</v>
      </c>
      <c r="G25" s="346">
        <f>25+0+185+22+75</f>
        <v>307</v>
      </c>
      <c r="H25" s="346">
        <f>16+0+218+17+49</f>
        <v>300</v>
      </c>
      <c r="I25" s="346">
        <f>0+23+247+23+366</f>
        <v>659</v>
      </c>
      <c r="J25" s="346">
        <f>0+39+240+33+600</f>
        <v>912</v>
      </c>
      <c r="K25" s="346">
        <f>0+76+214+36+592</f>
        <v>918</v>
      </c>
      <c r="L25" s="346">
        <f>0+144+133+85+459</f>
        <v>821</v>
      </c>
      <c r="M25" s="346">
        <f>0+166+72+112+450</f>
        <v>800</v>
      </c>
      <c r="N25" s="347">
        <f t="shared" ref="N25" si="6">SUM(B25:M25)</f>
        <v>6506</v>
      </c>
    </row>
    <row r="26" spans="1:14" s="291" customFormat="1" ht="16.5" thickTop="1" thickBot="1">
      <c r="A26" s="311" t="s">
        <v>144</v>
      </c>
      <c r="B26" s="324">
        <f t="shared" ref="B26:N26" si="7">SUM(B23:B25)</f>
        <v>52435</v>
      </c>
      <c r="C26" s="324">
        <f t="shared" si="7"/>
        <v>54805</v>
      </c>
      <c r="D26" s="324">
        <f t="shared" si="7"/>
        <v>63369</v>
      </c>
      <c r="E26" s="324">
        <f t="shared" si="7"/>
        <v>54026</v>
      </c>
      <c r="F26" s="324">
        <f t="shared" si="7"/>
        <v>58220</v>
      </c>
      <c r="G26" s="324">
        <f t="shared" si="7"/>
        <v>39612</v>
      </c>
      <c r="H26" s="324">
        <f t="shared" si="7"/>
        <v>40205</v>
      </c>
      <c r="I26" s="324">
        <f t="shared" si="7"/>
        <v>55452</v>
      </c>
      <c r="J26" s="324">
        <f t="shared" si="7"/>
        <v>30000</v>
      </c>
      <c r="K26" s="324">
        <f t="shared" si="7"/>
        <v>83918</v>
      </c>
      <c r="L26" s="324">
        <f t="shared" si="7"/>
        <v>52044</v>
      </c>
      <c r="M26" s="324">
        <f t="shared" si="7"/>
        <v>67666</v>
      </c>
      <c r="N26" s="325">
        <f t="shared" si="7"/>
        <v>635538</v>
      </c>
    </row>
    <row r="27" spans="1:14" ht="15.75" thickBot="1">
      <c r="A27" s="21"/>
      <c r="B27" s="341"/>
      <c r="C27" s="341"/>
      <c r="D27" s="341"/>
      <c r="E27" s="341"/>
      <c r="F27" s="341"/>
      <c r="G27" s="341"/>
      <c r="H27" s="341"/>
      <c r="I27" s="341"/>
      <c r="J27" s="341"/>
      <c r="K27" s="341"/>
      <c r="L27" s="341"/>
      <c r="M27" s="341"/>
      <c r="N27" s="341"/>
    </row>
    <row r="28" spans="1:14" s="17" customFormat="1" ht="15.75" thickBot="1">
      <c r="A28" s="18" t="s">
        <v>48</v>
      </c>
      <c r="B28" s="348">
        <f t="shared" ref="B28:N28" si="8">B20+B26</f>
        <v>1708825</v>
      </c>
      <c r="C28" s="348">
        <f t="shared" si="8"/>
        <v>1654647</v>
      </c>
      <c r="D28" s="348">
        <f t="shared" si="8"/>
        <v>1713132</v>
      </c>
      <c r="E28" s="348">
        <f t="shared" si="8"/>
        <v>1503976</v>
      </c>
      <c r="F28" s="348">
        <f t="shared" si="8"/>
        <v>1463151.5</v>
      </c>
      <c r="G28" s="348">
        <f t="shared" si="8"/>
        <v>1644802.5999999999</v>
      </c>
      <c r="H28" s="348">
        <f t="shared" si="8"/>
        <v>1727942.8599999999</v>
      </c>
      <c r="I28" s="348">
        <f t="shared" si="8"/>
        <v>2005112.9</v>
      </c>
      <c r="J28" s="348">
        <f t="shared" si="8"/>
        <v>1694720.28</v>
      </c>
      <c r="K28" s="348">
        <f t="shared" si="8"/>
        <v>1736256.32</v>
      </c>
      <c r="L28" s="348">
        <f t="shared" si="8"/>
        <v>1711208</v>
      </c>
      <c r="M28" s="348">
        <f t="shared" si="8"/>
        <v>1798202</v>
      </c>
      <c r="N28" s="348">
        <f t="shared" si="8"/>
        <v>20345762.460000001</v>
      </c>
    </row>
    <row r="29" spans="1:14">
      <c r="A29" s="17"/>
      <c r="B29" s="349"/>
      <c r="C29" s="349"/>
      <c r="D29" s="349"/>
      <c r="E29" s="349"/>
      <c r="F29" s="349"/>
      <c r="G29" s="349"/>
      <c r="H29" s="349"/>
      <c r="I29" s="349"/>
      <c r="J29" s="349"/>
      <c r="K29" s="349"/>
      <c r="L29" s="349"/>
      <c r="M29" s="349"/>
      <c r="N29" s="349"/>
    </row>
    <row r="30" spans="1:14">
      <c r="E30" s="350"/>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9"/>
  <sheetViews>
    <sheetView topLeftCell="A16" workbookViewId="0">
      <selection activeCell="N29" sqref="N29"/>
    </sheetView>
  </sheetViews>
  <sheetFormatPr defaultRowHeight="15"/>
  <cols>
    <col min="1" max="1" width="25.42578125" customWidth="1"/>
    <col min="2" max="13" width="10.28515625" style="330" customWidth="1"/>
    <col min="14" max="14" width="12.42578125" style="330" customWidth="1"/>
  </cols>
  <sheetData>
    <row r="1" spans="1:14" ht="15.75" thickBot="1">
      <c r="A1" s="66" t="s">
        <v>0</v>
      </c>
      <c r="B1" s="327">
        <v>44562</v>
      </c>
      <c r="C1" s="327">
        <v>44593</v>
      </c>
      <c r="D1" s="327">
        <v>44621</v>
      </c>
      <c r="E1" s="327">
        <v>44652</v>
      </c>
      <c r="F1" s="327">
        <v>44682</v>
      </c>
      <c r="G1" s="327">
        <v>44713</v>
      </c>
      <c r="H1" s="327">
        <v>44743</v>
      </c>
      <c r="I1" s="327">
        <v>44774</v>
      </c>
      <c r="J1" s="327">
        <v>44805</v>
      </c>
      <c r="K1" s="327">
        <v>44835</v>
      </c>
      <c r="L1" s="327">
        <v>44866</v>
      </c>
      <c r="M1" s="327">
        <v>44896</v>
      </c>
      <c r="N1" s="328" t="s">
        <v>130</v>
      </c>
    </row>
    <row r="2" spans="1:14">
      <c r="A2" s="19"/>
      <c r="B2" s="329"/>
      <c r="D2" s="329"/>
      <c r="E2" s="329"/>
      <c r="F2" s="329"/>
      <c r="G2" s="329"/>
      <c r="H2" s="329"/>
      <c r="I2" s="329"/>
      <c r="J2" s="329"/>
      <c r="K2" s="329"/>
      <c r="L2" s="329"/>
      <c r="M2" s="329"/>
      <c r="N2" s="331"/>
    </row>
    <row r="3" spans="1:14" ht="15.75" thickBot="1">
      <c r="A3" s="21" t="s">
        <v>1</v>
      </c>
      <c r="B3" s="329"/>
      <c r="C3" s="329"/>
      <c r="D3" s="329"/>
      <c r="E3" s="329"/>
      <c r="F3" s="329"/>
      <c r="G3" s="329"/>
      <c r="H3" s="329"/>
      <c r="I3" s="329"/>
      <c r="J3" s="329"/>
      <c r="K3" s="329"/>
      <c r="L3" s="329"/>
      <c r="M3" s="329"/>
      <c r="N3" s="331"/>
    </row>
    <row r="4" spans="1:14" ht="30">
      <c r="A4" s="28" t="s">
        <v>55</v>
      </c>
      <c r="B4" s="351">
        <v>1619868</v>
      </c>
      <c r="C4" s="351">
        <v>1515507</v>
      </c>
      <c r="D4" s="351">
        <v>1609509</v>
      </c>
      <c r="E4" s="352">
        <v>1399955</v>
      </c>
      <c r="F4" s="358">
        <v>1408296.129</v>
      </c>
      <c r="G4" s="358">
        <v>1479387.3533999999</v>
      </c>
      <c r="H4" s="358">
        <v>1726405.3256999999</v>
      </c>
      <c r="I4" s="358">
        <v>1796825</v>
      </c>
      <c r="J4" s="358">
        <v>1643231</v>
      </c>
      <c r="K4" s="358">
        <v>1571364</v>
      </c>
      <c r="L4" s="317">
        <v>1567328.5155</v>
      </c>
      <c r="M4" s="317">
        <v>1641443.3374000001</v>
      </c>
      <c r="N4" s="321">
        <f>SUM(B4:M4)</f>
        <v>18979119.661000002</v>
      </c>
    </row>
    <row r="5" spans="1:14">
      <c r="A5" s="78" t="s">
        <v>2</v>
      </c>
      <c r="B5" s="316">
        <v>60677</v>
      </c>
      <c r="C5" s="316">
        <v>54012</v>
      </c>
      <c r="D5" s="316">
        <v>54340</v>
      </c>
      <c r="E5" s="316">
        <v>40167</v>
      </c>
      <c r="F5" s="316">
        <v>40636</v>
      </c>
      <c r="G5" s="316">
        <v>39350</v>
      </c>
      <c r="H5" s="318">
        <v>42563</v>
      </c>
      <c r="I5" s="318">
        <v>43986</v>
      </c>
      <c r="J5" s="318">
        <v>43317</v>
      </c>
      <c r="K5" s="318">
        <v>46599</v>
      </c>
      <c r="L5" s="318">
        <v>46288.800000000003</v>
      </c>
      <c r="M5" s="318">
        <v>52297.68</v>
      </c>
      <c r="N5" s="322">
        <f t="shared" ref="N5:N10" si="0">SUM(B5:M5)</f>
        <v>564233.48</v>
      </c>
    </row>
    <row r="6" spans="1:14">
      <c r="A6" s="78" t="s">
        <v>57</v>
      </c>
      <c r="B6" s="318">
        <v>259</v>
      </c>
      <c r="C6" s="318">
        <v>104</v>
      </c>
      <c r="D6" s="318">
        <v>110</v>
      </c>
      <c r="E6" s="318">
        <v>90</v>
      </c>
      <c r="F6" s="316">
        <v>91</v>
      </c>
      <c r="G6" s="316">
        <v>106</v>
      </c>
      <c r="H6" s="316">
        <v>89</v>
      </c>
      <c r="I6" s="316">
        <v>95</v>
      </c>
      <c r="J6" s="316">
        <v>104</v>
      </c>
      <c r="K6" s="316">
        <v>92</v>
      </c>
      <c r="L6" s="318">
        <v>90</v>
      </c>
      <c r="M6" s="318">
        <v>341</v>
      </c>
      <c r="N6" s="322">
        <f t="shared" si="0"/>
        <v>1571</v>
      </c>
    </row>
    <row r="7" spans="1:14">
      <c r="A7" s="78" t="s">
        <v>58</v>
      </c>
      <c r="B7" s="318">
        <v>2886</v>
      </c>
      <c r="C7" s="318">
        <v>2799</v>
      </c>
      <c r="D7" s="318">
        <v>1762</v>
      </c>
      <c r="E7" s="318">
        <v>1483</v>
      </c>
      <c r="F7" s="316">
        <v>1384.35</v>
      </c>
      <c r="G7" s="316">
        <v>1445.65</v>
      </c>
      <c r="H7" s="316">
        <v>1501.64</v>
      </c>
      <c r="I7" s="316">
        <v>1554.3</v>
      </c>
      <c r="J7" s="316">
        <v>1497</v>
      </c>
      <c r="K7" s="316">
        <v>1674.76</v>
      </c>
      <c r="L7" s="318">
        <v>1983</v>
      </c>
      <c r="M7" s="318">
        <v>2369</v>
      </c>
      <c r="N7" s="322">
        <f t="shared" si="0"/>
        <v>22339.699999999997</v>
      </c>
    </row>
    <row r="8" spans="1:14">
      <c r="A8" s="25" t="s">
        <v>60</v>
      </c>
      <c r="B8" s="318">
        <v>1220</v>
      </c>
      <c r="C8" s="318">
        <v>1274</v>
      </c>
      <c r="D8" s="318">
        <v>1321</v>
      </c>
      <c r="E8" s="318">
        <v>167</v>
      </c>
      <c r="F8" s="316">
        <v>219.5838</v>
      </c>
      <c r="G8" s="316">
        <v>267.2364</v>
      </c>
      <c r="H8" s="316">
        <v>360.15480000000002</v>
      </c>
      <c r="I8" s="316">
        <v>289.8768</v>
      </c>
      <c r="J8" s="316">
        <v>158.52539999999999</v>
      </c>
      <c r="K8" s="316">
        <v>83.524799999999999</v>
      </c>
      <c r="L8" s="318">
        <v>247</v>
      </c>
      <c r="M8" s="318">
        <v>34</v>
      </c>
      <c r="N8" s="322">
        <f t="shared" si="0"/>
        <v>5641.902000000001</v>
      </c>
    </row>
    <row r="9" spans="1:14" ht="15.75" thickBot="1">
      <c r="A9" s="25" t="s">
        <v>7</v>
      </c>
      <c r="B9" s="318">
        <v>17</v>
      </c>
      <c r="C9" s="318">
        <v>17</v>
      </c>
      <c r="D9" s="318">
        <v>17</v>
      </c>
      <c r="E9" s="318">
        <v>18</v>
      </c>
      <c r="F9" s="316">
        <v>15</v>
      </c>
      <c r="G9" s="316">
        <v>19</v>
      </c>
      <c r="H9" s="316">
        <v>16</v>
      </c>
      <c r="I9" s="316">
        <v>17</v>
      </c>
      <c r="J9" s="316">
        <v>18</v>
      </c>
      <c r="K9" s="316">
        <v>18</v>
      </c>
      <c r="L9" s="320">
        <v>17</v>
      </c>
      <c r="M9" s="320">
        <v>20</v>
      </c>
      <c r="N9" s="323">
        <f t="shared" si="0"/>
        <v>209</v>
      </c>
    </row>
    <row r="10" spans="1:14" ht="16.5" thickTop="1" thickBot="1">
      <c r="A10" s="64" t="s">
        <v>45</v>
      </c>
      <c r="B10" s="324">
        <f>SUM(B4:B9)</f>
        <v>1684927</v>
      </c>
      <c r="C10" s="324">
        <f t="shared" ref="C10:M10" si="1">SUM(C4:C9)</f>
        <v>1573713</v>
      </c>
      <c r="D10" s="324">
        <f t="shared" si="1"/>
        <v>1667059</v>
      </c>
      <c r="E10" s="324">
        <f t="shared" si="1"/>
        <v>1441880</v>
      </c>
      <c r="F10" s="324">
        <f t="shared" si="1"/>
        <v>1450642.0628</v>
      </c>
      <c r="G10" s="324">
        <f t="shared" si="1"/>
        <v>1520575.2397999999</v>
      </c>
      <c r="H10" s="324">
        <f t="shared" si="1"/>
        <v>1770935.1204999997</v>
      </c>
      <c r="I10" s="324">
        <f t="shared" si="1"/>
        <v>1842767.1768</v>
      </c>
      <c r="J10" s="324">
        <f t="shared" si="1"/>
        <v>1688325.5253999999</v>
      </c>
      <c r="K10" s="324">
        <f t="shared" si="1"/>
        <v>1619831.2848</v>
      </c>
      <c r="L10" s="324">
        <f t="shared" si="1"/>
        <v>1615954.3155</v>
      </c>
      <c r="M10" s="324">
        <f t="shared" si="1"/>
        <v>1696505.0174</v>
      </c>
      <c r="N10" s="325">
        <f t="shared" si="0"/>
        <v>19573114.743000001</v>
      </c>
    </row>
    <row r="11" spans="1:14">
      <c r="A11" s="21"/>
      <c r="B11" s="333"/>
      <c r="C11" s="333"/>
      <c r="D11" s="333"/>
      <c r="E11" s="333"/>
      <c r="F11" s="333"/>
      <c r="G11" s="333"/>
      <c r="H11" s="333"/>
      <c r="I11" s="333"/>
      <c r="J11" s="333"/>
      <c r="K11" s="333"/>
      <c r="L11" s="333"/>
      <c r="M11" s="333"/>
      <c r="N11" s="333"/>
    </row>
    <row r="12" spans="1:14" ht="15.75" thickBot="1">
      <c r="A12" s="21" t="s">
        <v>8</v>
      </c>
      <c r="B12" s="333"/>
      <c r="C12" s="333"/>
      <c r="D12" s="333"/>
      <c r="E12" s="333"/>
      <c r="F12" s="333"/>
      <c r="G12" s="333"/>
      <c r="H12" s="333"/>
      <c r="I12" s="333"/>
      <c r="J12" s="333"/>
      <c r="K12" s="333"/>
      <c r="L12" s="333"/>
      <c r="M12" s="333"/>
      <c r="N12" s="333"/>
    </row>
    <row r="13" spans="1:14">
      <c r="A13" s="86" t="s">
        <v>97</v>
      </c>
      <c r="B13" s="317">
        <v>511</v>
      </c>
      <c r="C13" s="317">
        <v>853</v>
      </c>
      <c r="D13" s="317">
        <v>630</v>
      </c>
      <c r="E13" s="317">
        <v>579</v>
      </c>
      <c r="F13" s="316">
        <v>507</v>
      </c>
      <c r="G13" s="316">
        <v>547</v>
      </c>
      <c r="H13" s="316">
        <v>544</v>
      </c>
      <c r="I13" s="316">
        <v>465</v>
      </c>
      <c r="J13" s="316">
        <v>547</v>
      </c>
      <c r="K13" s="316">
        <v>577</v>
      </c>
      <c r="L13" s="317">
        <v>580</v>
      </c>
      <c r="M13" s="317">
        <v>725</v>
      </c>
      <c r="N13" s="321">
        <f>SUM(B13:M13)</f>
        <v>7065</v>
      </c>
    </row>
    <row r="14" spans="1:14">
      <c r="A14" s="25" t="s">
        <v>98</v>
      </c>
      <c r="B14" s="318">
        <v>9800</v>
      </c>
      <c r="C14" s="318">
        <v>7723</v>
      </c>
      <c r="D14" s="318">
        <v>6360</v>
      </c>
      <c r="E14" s="318">
        <v>3880</v>
      </c>
      <c r="F14" s="316">
        <v>11.023999999999999</v>
      </c>
      <c r="G14" s="316">
        <v>0</v>
      </c>
      <c r="H14" s="316">
        <v>0</v>
      </c>
      <c r="I14" s="316">
        <v>4</v>
      </c>
      <c r="J14" s="316">
        <v>19</v>
      </c>
      <c r="K14" s="316">
        <v>38</v>
      </c>
      <c r="L14" s="318">
        <v>4139</v>
      </c>
      <c r="M14" s="318">
        <v>7062</v>
      </c>
      <c r="N14" s="322">
        <f t="shared" ref="N14:N20" si="2">SUM(B14:M14)</f>
        <v>39036.024000000005</v>
      </c>
    </row>
    <row r="15" spans="1:14">
      <c r="A15" s="25" t="s">
        <v>85</v>
      </c>
      <c r="B15" s="318">
        <v>2363</v>
      </c>
      <c r="C15" s="318">
        <v>2290</v>
      </c>
      <c r="D15" s="318">
        <v>2249</v>
      </c>
      <c r="E15" s="318">
        <v>1951</v>
      </c>
      <c r="F15" s="316">
        <v>610</v>
      </c>
      <c r="G15" s="316">
        <v>610</v>
      </c>
      <c r="H15" s="316">
        <v>501</v>
      </c>
      <c r="I15" s="316">
        <v>575</v>
      </c>
      <c r="J15" s="316">
        <v>1283</v>
      </c>
      <c r="K15" s="316">
        <v>1859</v>
      </c>
      <c r="L15" s="318">
        <v>2128</v>
      </c>
      <c r="M15" s="318">
        <v>2287</v>
      </c>
      <c r="N15" s="322">
        <f t="shared" si="2"/>
        <v>18706</v>
      </c>
    </row>
    <row r="16" spans="1:14">
      <c r="A16" s="25" t="s">
        <v>99</v>
      </c>
      <c r="B16" s="318">
        <v>416</v>
      </c>
      <c r="C16" s="318">
        <v>443</v>
      </c>
      <c r="D16" s="318">
        <v>492</v>
      </c>
      <c r="E16" s="318">
        <v>461</v>
      </c>
      <c r="F16" s="316">
        <v>434</v>
      </c>
      <c r="G16" s="316">
        <v>508</v>
      </c>
      <c r="H16" s="316">
        <v>475</v>
      </c>
      <c r="I16" s="316">
        <v>470</v>
      </c>
      <c r="J16" s="316">
        <v>510</v>
      </c>
      <c r="K16" s="316">
        <v>465</v>
      </c>
      <c r="L16" s="318">
        <v>440</v>
      </c>
      <c r="M16" s="318">
        <v>593</v>
      </c>
      <c r="N16" s="322">
        <f t="shared" si="2"/>
        <v>5707</v>
      </c>
    </row>
    <row r="17" spans="1:14">
      <c r="A17" s="25" t="s">
        <v>100</v>
      </c>
      <c r="B17" s="318">
        <v>132847.70000000001</v>
      </c>
      <c r="C17" s="318">
        <v>114318.9</v>
      </c>
      <c r="D17" s="318">
        <v>91649.3</v>
      </c>
      <c r="E17" s="318">
        <v>71039.7</v>
      </c>
      <c r="F17" s="316">
        <v>33638.6</v>
      </c>
      <c r="G17" s="316">
        <v>23611.5</v>
      </c>
      <c r="H17" s="316">
        <v>26020.693200000002</v>
      </c>
      <c r="I17" s="316">
        <v>24266.3</v>
      </c>
      <c r="J17" s="316">
        <v>29101.46</v>
      </c>
      <c r="K17" s="316">
        <v>41121.879999999997</v>
      </c>
      <c r="L17" s="334">
        <v>57841.88</v>
      </c>
      <c r="M17" s="334">
        <v>79642.16</v>
      </c>
      <c r="N17" s="337">
        <f>SUM(B17:M17)</f>
        <v>725100.07319999998</v>
      </c>
    </row>
    <row r="18" spans="1:14">
      <c r="A18" s="25" t="s">
        <v>148</v>
      </c>
      <c r="B18" s="318">
        <v>622</v>
      </c>
      <c r="C18" s="318">
        <v>667</v>
      </c>
      <c r="D18" s="318">
        <v>771</v>
      </c>
      <c r="E18" s="318">
        <v>571</v>
      </c>
      <c r="F18" s="316">
        <v>386</v>
      </c>
      <c r="G18" s="316">
        <v>626</v>
      </c>
      <c r="H18" s="316">
        <v>584</v>
      </c>
      <c r="I18" s="316">
        <v>122</v>
      </c>
      <c r="J18" s="316">
        <v>144</v>
      </c>
      <c r="K18" s="316">
        <v>290</v>
      </c>
      <c r="L18" s="318">
        <v>305</v>
      </c>
      <c r="M18" s="318">
        <v>528</v>
      </c>
      <c r="N18" s="322">
        <f t="shared" si="2"/>
        <v>5616</v>
      </c>
    </row>
    <row r="19" spans="1:14">
      <c r="A19" s="25" t="s">
        <v>150</v>
      </c>
      <c r="B19" s="361" t="s">
        <v>42</v>
      </c>
      <c r="C19" s="361" t="s">
        <v>42</v>
      </c>
      <c r="D19" s="361" t="s">
        <v>42</v>
      </c>
      <c r="E19" s="361" t="s">
        <v>42</v>
      </c>
      <c r="F19" s="361" t="s">
        <v>42</v>
      </c>
      <c r="G19" s="316">
        <v>165</v>
      </c>
      <c r="H19" s="316">
        <v>133</v>
      </c>
      <c r="I19" s="316">
        <v>121</v>
      </c>
      <c r="J19" s="316">
        <v>136</v>
      </c>
      <c r="K19" s="316">
        <v>139</v>
      </c>
      <c r="L19" s="361">
        <v>133</v>
      </c>
      <c r="M19" s="361">
        <v>268</v>
      </c>
      <c r="N19" s="322">
        <f t="shared" si="2"/>
        <v>1095</v>
      </c>
    </row>
    <row r="20" spans="1:14" ht="15.75" thickBot="1">
      <c r="A20" s="72" t="s">
        <v>46</v>
      </c>
      <c r="B20" s="338">
        <f>SUM(B13:B18)</f>
        <v>146559.70000000001</v>
      </c>
      <c r="C20" s="338">
        <f>SUM(C13:C18)</f>
        <v>126294.9</v>
      </c>
      <c r="D20" s="338">
        <f>SUM(D13:D18)</f>
        <v>102151.3</v>
      </c>
      <c r="E20" s="338">
        <f>SUM(E13:E18)</f>
        <v>78481.7</v>
      </c>
      <c r="F20" s="338">
        <f t="shared" ref="F20:M20" si="3">SUM(F13:F17)</f>
        <v>35200.623999999996</v>
      </c>
      <c r="G20" s="338">
        <f t="shared" si="3"/>
        <v>25276.5</v>
      </c>
      <c r="H20" s="338">
        <f t="shared" si="3"/>
        <v>27540.693200000002</v>
      </c>
      <c r="I20" s="338">
        <f t="shared" si="3"/>
        <v>25780.3</v>
      </c>
      <c r="J20" s="338">
        <f t="shared" si="3"/>
        <v>31460.46</v>
      </c>
      <c r="K20" s="338">
        <f t="shared" si="3"/>
        <v>44060.88</v>
      </c>
      <c r="L20" s="338">
        <f t="shared" si="3"/>
        <v>65128.88</v>
      </c>
      <c r="M20" s="338">
        <f t="shared" si="3"/>
        <v>90309.16</v>
      </c>
      <c r="N20" s="339">
        <f t="shared" si="2"/>
        <v>798245.09720000008</v>
      </c>
    </row>
    <row r="21" spans="1:14" ht="45" thickTop="1" thickBot="1">
      <c r="A21" s="73" t="s">
        <v>54</v>
      </c>
      <c r="B21" s="324">
        <f>B10+B20</f>
        <v>1831486.7</v>
      </c>
      <c r="C21" s="324">
        <f t="shared" ref="C21:N21" si="4">C10+C20</f>
        <v>1700007.9</v>
      </c>
      <c r="D21" s="324">
        <f t="shared" si="4"/>
        <v>1769210.3</v>
      </c>
      <c r="E21" s="324">
        <f t="shared" si="4"/>
        <v>1520361.7</v>
      </c>
      <c r="F21" s="324">
        <f t="shared" si="4"/>
        <v>1485842.6868</v>
      </c>
      <c r="G21" s="324">
        <f t="shared" si="4"/>
        <v>1545851.7397999999</v>
      </c>
      <c r="H21" s="324">
        <f t="shared" si="4"/>
        <v>1798475.8136999998</v>
      </c>
      <c r="I21" s="324">
        <f t="shared" si="4"/>
        <v>1868547.4768000001</v>
      </c>
      <c r="J21" s="324">
        <f t="shared" si="4"/>
        <v>1719785.9853999999</v>
      </c>
      <c r="K21" s="324">
        <f t="shared" si="4"/>
        <v>1663892.1647999999</v>
      </c>
      <c r="L21" s="324">
        <f t="shared" si="4"/>
        <v>1681083.1954999999</v>
      </c>
      <c r="M21" s="324">
        <f t="shared" si="4"/>
        <v>1786814.1773999999</v>
      </c>
      <c r="N21" s="325">
        <f t="shared" si="4"/>
        <v>20371359.8402</v>
      </c>
    </row>
    <row r="22" spans="1:14">
      <c r="A22" s="76"/>
      <c r="B22" s="340"/>
      <c r="C22" s="340"/>
      <c r="D22" s="340"/>
      <c r="E22" s="340"/>
      <c r="F22" s="340"/>
      <c r="G22" s="340"/>
      <c r="H22" s="340"/>
      <c r="I22" s="340"/>
      <c r="J22" s="340"/>
      <c r="K22" s="340"/>
      <c r="L22" s="340"/>
      <c r="M22" s="340"/>
      <c r="N22" s="340"/>
    </row>
    <row r="23" spans="1:14" ht="15.75" thickBot="1">
      <c r="A23" s="76" t="s">
        <v>20</v>
      </c>
      <c r="B23" s="341"/>
      <c r="C23" s="341"/>
      <c r="D23" s="341"/>
      <c r="E23" s="341"/>
      <c r="F23" s="341"/>
      <c r="G23" s="341"/>
      <c r="H23" s="341"/>
      <c r="I23" s="341"/>
      <c r="J23" s="341"/>
      <c r="K23" s="341"/>
      <c r="L23" s="341"/>
      <c r="M23" s="341"/>
      <c r="N23" s="341"/>
    </row>
    <row r="24" spans="1:14" ht="15.75" thickBot="1">
      <c r="A24" s="308" t="s">
        <v>145</v>
      </c>
      <c r="B24" s="342">
        <v>39300</v>
      </c>
      <c r="C24" s="342">
        <v>40500</v>
      </c>
      <c r="D24" s="342">
        <v>39000</v>
      </c>
      <c r="E24" s="342">
        <v>44100</v>
      </c>
      <c r="F24" s="342">
        <v>39600</v>
      </c>
      <c r="G24" s="342">
        <v>36000</v>
      </c>
      <c r="H24" s="342">
        <v>37500</v>
      </c>
      <c r="I24" s="342">
        <v>44400</v>
      </c>
      <c r="J24" s="342">
        <v>47100</v>
      </c>
      <c r="K24" s="342">
        <v>49800</v>
      </c>
      <c r="L24" s="342">
        <v>43200</v>
      </c>
      <c r="M24" s="342">
        <v>43800</v>
      </c>
      <c r="N24" s="343">
        <f>SUM(B24:M24)</f>
        <v>504300</v>
      </c>
    </row>
    <row r="25" spans="1:14" ht="15.75" thickBot="1">
      <c r="A25" s="310" t="s">
        <v>146</v>
      </c>
      <c r="B25" s="359">
        <v>14090</v>
      </c>
      <c r="C25" s="344">
        <v>23608</v>
      </c>
      <c r="D25" s="344">
        <v>18163</v>
      </c>
      <c r="E25" s="344">
        <v>18246</v>
      </c>
      <c r="F25" s="344">
        <v>15460</v>
      </c>
      <c r="G25" s="344">
        <v>23204</v>
      </c>
      <c r="H25" s="344">
        <v>20251</v>
      </c>
      <c r="I25" s="344">
        <v>31402</v>
      </c>
      <c r="J25" s="344">
        <v>22799</v>
      </c>
      <c r="K25" s="362"/>
      <c r="L25" s="344"/>
      <c r="M25" s="344"/>
      <c r="N25" s="343">
        <f t="shared" ref="N25:N27" si="5">SUM(B25:M25)</f>
        <v>187223</v>
      </c>
    </row>
    <row r="26" spans="1:14" ht="15.75" thickBot="1">
      <c r="A26" s="306" t="s">
        <v>147</v>
      </c>
      <c r="B26" s="346">
        <f>5+161+92+148+438</f>
        <v>844</v>
      </c>
      <c r="C26" s="346">
        <f>0+150+129+288+352</f>
        <v>919</v>
      </c>
      <c r="D26" s="346">
        <f>0+370+248+472+643</f>
        <v>1733</v>
      </c>
      <c r="E26" s="346">
        <f>0+315+317+57+504</f>
        <v>1193</v>
      </c>
      <c r="F26" s="346">
        <f>379+72+248+371+0</f>
        <v>1070</v>
      </c>
      <c r="G26" s="346">
        <f>555+74+360+364+0</f>
        <v>1353</v>
      </c>
      <c r="H26" s="346">
        <f>520+58+503+506.12+0</f>
        <v>1587.12</v>
      </c>
      <c r="I26" s="346">
        <f>651+56+486+671+1</f>
        <v>1865</v>
      </c>
      <c r="J26" s="346">
        <f>326+50+240+576+3</f>
        <v>1195</v>
      </c>
      <c r="K26" s="360"/>
      <c r="L26" s="346">
        <f>456.17+362.81+327.48+2.99+113.51</f>
        <v>1262.96</v>
      </c>
      <c r="M26" s="346">
        <f>477.28+411.14+234.12+393.26+2</f>
        <v>1517.8</v>
      </c>
      <c r="N26" s="343">
        <f t="shared" si="5"/>
        <v>14539.879999999997</v>
      </c>
    </row>
    <row r="27" spans="1:14" ht="16.5" thickTop="1" thickBot="1">
      <c r="A27" s="311" t="s">
        <v>144</v>
      </c>
      <c r="B27" s="324">
        <f>SUM(B24:B26)</f>
        <v>54234</v>
      </c>
      <c r="C27" s="324">
        <f t="shared" ref="C27:M27" si="6">SUM(C24:C26)</f>
        <v>65027</v>
      </c>
      <c r="D27" s="324">
        <f t="shared" si="6"/>
        <v>58896</v>
      </c>
      <c r="E27" s="324">
        <f t="shared" si="6"/>
        <v>63539</v>
      </c>
      <c r="F27" s="324">
        <f t="shared" si="6"/>
        <v>56130</v>
      </c>
      <c r="G27" s="324">
        <f t="shared" si="6"/>
        <v>60557</v>
      </c>
      <c r="H27" s="324">
        <f t="shared" si="6"/>
        <v>59338.12</v>
      </c>
      <c r="I27" s="324">
        <f t="shared" si="6"/>
        <v>77667</v>
      </c>
      <c r="J27" s="324">
        <f t="shared" si="6"/>
        <v>71094</v>
      </c>
      <c r="K27" s="324">
        <f t="shared" si="6"/>
        <v>49800</v>
      </c>
      <c r="L27" s="324">
        <f t="shared" si="6"/>
        <v>44462.96</v>
      </c>
      <c r="M27" s="324">
        <f t="shared" si="6"/>
        <v>45317.8</v>
      </c>
      <c r="N27" s="343">
        <f t="shared" si="5"/>
        <v>706062.88</v>
      </c>
    </row>
    <row r="28" spans="1:14" ht="15.75" thickBot="1">
      <c r="A28" s="21"/>
      <c r="B28" s="341"/>
      <c r="C28" s="341"/>
      <c r="D28" s="341"/>
      <c r="E28" s="341"/>
      <c r="F28" s="341"/>
      <c r="G28" s="341"/>
      <c r="H28" s="341"/>
      <c r="I28" s="341"/>
      <c r="J28" s="341"/>
      <c r="K28" s="341"/>
      <c r="L28" s="341"/>
      <c r="M28" s="341"/>
      <c r="N28" s="341"/>
    </row>
    <row r="29" spans="1:14" ht="15.75" thickBot="1">
      <c r="A29" s="18" t="s">
        <v>48</v>
      </c>
      <c r="B29" s="348">
        <f t="shared" ref="B29:M29" si="7">B21+B27</f>
        <v>1885720.7</v>
      </c>
      <c r="C29" s="348">
        <f t="shared" si="7"/>
        <v>1765034.9</v>
      </c>
      <c r="D29" s="348">
        <f t="shared" si="7"/>
        <v>1828106.3</v>
      </c>
      <c r="E29" s="348">
        <f t="shared" si="7"/>
        <v>1583900.7</v>
      </c>
      <c r="F29" s="348">
        <f t="shared" si="7"/>
        <v>1541972.6868</v>
      </c>
      <c r="G29" s="348">
        <f t="shared" si="7"/>
        <v>1606408.7397999999</v>
      </c>
      <c r="H29" s="348">
        <f t="shared" si="7"/>
        <v>1857813.9336999999</v>
      </c>
      <c r="I29" s="348">
        <f t="shared" si="7"/>
        <v>1946214.4768000001</v>
      </c>
      <c r="J29" s="348">
        <f t="shared" si="7"/>
        <v>1790879.9853999999</v>
      </c>
      <c r="K29" s="348">
        <f t="shared" si="7"/>
        <v>1713692.1647999999</v>
      </c>
      <c r="L29" s="348">
        <f t="shared" si="7"/>
        <v>1725546.1554999999</v>
      </c>
      <c r="M29" s="348">
        <f t="shared" si="7"/>
        <v>1832131.9774</v>
      </c>
      <c r="N29" s="348">
        <f>N21+N27</f>
        <v>21077422.720199998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37"/>
  <sheetViews>
    <sheetView showGridLines="0" workbookViewId="0">
      <selection activeCell="N7" sqref="N7"/>
    </sheetView>
  </sheetViews>
  <sheetFormatPr defaultColWidth="8.85546875" defaultRowHeight="15"/>
  <cols>
    <col min="1" max="1" width="29.85546875" customWidth="1"/>
    <col min="14" max="14" width="11.140625" customWidth="1"/>
  </cols>
  <sheetData>
    <row r="1" spans="1:14" ht="17.25" thickBot="1">
      <c r="A1" s="82" t="s">
        <v>0</v>
      </c>
      <c r="B1" s="90">
        <v>39083</v>
      </c>
      <c r="C1" s="90">
        <v>39114</v>
      </c>
      <c r="D1" s="90">
        <v>39142</v>
      </c>
      <c r="E1" s="90">
        <v>39173</v>
      </c>
      <c r="F1" s="90">
        <v>39203</v>
      </c>
      <c r="G1" s="90">
        <v>39234</v>
      </c>
      <c r="H1" s="90">
        <v>39264</v>
      </c>
      <c r="I1" s="90">
        <v>39295</v>
      </c>
      <c r="J1" s="90">
        <v>39326</v>
      </c>
      <c r="K1" s="90">
        <v>39356</v>
      </c>
      <c r="L1" s="90">
        <v>39387</v>
      </c>
      <c r="M1" s="90">
        <v>39417</v>
      </c>
      <c r="N1" s="91" t="s">
        <v>131</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100" t="s">
        <v>91</v>
      </c>
      <c r="B4" s="184">
        <v>117223</v>
      </c>
      <c r="C4" s="184">
        <v>176450</v>
      </c>
      <c r="D4" s="184">
        <v>159955</v>
      </c>
      <c r="E4" s="184">
        <v>123541</v>
      </c>
      <c r="F4" s="184">
        <v>70674</v>
      </c>
      <c r="G4" s="184">
        <v>27662</v>
      </c>
      <c r="H4" s="184">
        <v>12233</v>
      </c>
      <c r="I4" s="184">
        <v>9452</v>
      </c>
      <c r="J4" s="184">
        <v>12306</v>
      </c>
      <c r="K4" s="184">
        <v>18294</v>
      </c>
      <c r="L4" s="184">
        <v>56317</v>
      </c>
      <c r="M4" s="184">
        <v>134091</v>
      </c>
      <c r="N4" s="176">
        <f>SUM(B4:M4)</f>
        <v>918198</v>
      </c>
    </row>
    <row r="5" spans="1:14">
      <c r="A5" s="101" t="s">
        <v>21</v>
      </c>
      <c r="B5" s="178">
        <v>22800</v>
      </c>
      <c r="C5" s="178">
        <v>34641</v>
      </c>
      <c r="D5" s="178">
        <v>39314</v>
      </c>
      <c r="E5" s="178">
        <v>34604</v>
      </c>
      <c r="F5" s="178">
        <v>19975</v>
      </c>
      <c r="G5" s="178">
        <v>1334</v>
      </c>
      <c r="H5" s="178">
        <v>1110</v>
      </c>
      <c r="I5" s="178">
        <v>1017</v>
      </c>
      <c r="J5" s="178">
        <v>1220</v>
      </c>
      <c r="K5" s="178">
        <v>1503</v>
      </c>
      <c r="L5" s="178">
        <v>8119</v>
      </c>
      <c r="M5" s="178">
        <v>32344</v>
      </c>
      <c r="N5" s="177">
        <f t="shared" ref="N5:N24" si="0">SUM(B5:M5)</f>
        <v>197981</v>
      </c>
    </row>
    <row r="6" spans="1:14">
      <c r="A6" s="83" t="s">
        <v>92</v>
      </c>
      <c r="B6" s="109">
        <v>1998</v>
      </c>
      <c r="C6" s="109">
        <v>2628</v>
      </c>
      <c r="D6" s="109">
        <v>828</v>
      </c>
      <c r="E6" s="109">
        <v>1611</v>
      </c>
      <c r="F6" s="109">
        <v>1023</v>
      </c>
      <c r="G6" s="109">
        <v>1591</v>
      </c>
      <c r="H6" s="109">
        <v>17</v>
      </c>
      <c r="I6" s="109">
        <v>772</v>
      </c>
      <c r="J6" s="109">
        <v>1348</v>
      </c>
      <c r="K6" s="109">
        <v>1082</v>
      </c>
      <c r="L6" s="109">
        <v>1992</v>
      </c>
      <c r="M6" s="109">
        <v>1277</v>
      </c>
      <c r="N6" s="177">
        <f t="shared" si="0"/>
        <v>16167</v>
      </c>
    </row>
    <row r="7" spans="1:14">
      <c r="A7" s="83" t="s">
        <v>2</v>
      </c>
      <c r="B7" s="109">
        <v>9386</v>
      </c>
      <c r="C7" s="109">
        <v>13781</v>
      </c>
      <c r="D7" s="109">
        <v>10321</v>
      </c>
      <c r="E7" s="109">
        <v>6520</v>
      </c>
      <c r="F7" s="109">
        <v>1976</v>
      </c>
      <c r="G7" s="109">
        <v>526</v>
      </c>
      <c r="H7" s="109">
        <v>404</v>
      </c>
      <c r="I7" s="109">
        <v>449</v>
      </c>
      <c r="J7" s="109">
        <v>88</v>
      </c>
      <c r="K7" s="109">
        <v>777</v>
      </c>
      <c r="L7" s="109">
        <v>4225</v>
      </c>
      <c r="M7" s="109">
        <v>10632</v>
      </c>
      <c r="N7" s="177">
        <f t="shared" si="0"/>
        <v>59085</v>
      </c>
    </row>
    <row r="8" spans="1:14">
      <c r="A8" s="83" t="s">
        <v>69</v>
      </c>
      <c r="B8" s="109">
        <v>11599</v>
      </c>
      <c r="C8" s="109">
        <v>10087</v>
      </c>
      <c r="D8" s="109">
        <v>11975</v>
      </c>
      <c r="E8" s="109">
        <v>6031</v>
      </c>
      <c r="F8" s="109">
        <v>6170</v>
      </c>
      <c r="G8" s="109">
        <v>625</v>
      </c>
      <c r="H8" s="109">
        <v>2029</v>
      </c>
      <c r="I8" s="109">
        <v>1280</v>
      </c>
      <c r="J8" s="109">
        <v>610</v>
      </c>
      <c r="K8" s="109">
        <v>1619</v>
      </c>
      <c r="L8" s="107">
        <v>7294</v>
      </c>
      <c r="M8" s="109">
        <v>10525</v>
      </c>
      <c r="N8" s="177">
        <f t="shared" si="0"/>
        <v>69844</v>
      </c>
    </row>
    <row r="9" spans="1:14">
      <c r="A9" s="83" t="s">
        <v>70</v>
      </c>
      <c r="B9" s="109">
        <v>2441</v>
      </c>
      <c r="C9" s="109">
        <v>1917</v>
      </c>
      <c r="D9" s="109">
        <v>2049</v>
      </c>
      <c r="E9" s="109">
        <v>1983</v>
      </c>
      <c r="F9" s="109">
        <v>3422</v>
      </c>
      <c r="G9" s="109">
        <v>2518</v>
      </c>
      <c r="H9" s="109">
        <v>955</v>
      </c>
      <c r="I9" s="109">
        <v>462</v>
      </c>
      <c r="J9" s="109">
        <v>940</v>
      </c>
      <c r="K9" s="109">
        <v>710</v>
      </c>
      <c r="L9" s="109">
        <v>664</v>
      </c>
      <c r="M9" s="109">
        <v>710</v>
      </c>
      <c r="N9" s="177">
        <f t="shared" si="0"/>
        <v>18771</v>
      </c>
    </row>
    <row r="10" spans="1:14">
      <c r="A10" s="83" t="s">
        <v>71</v>
      </c>
      <c r="B10" s="109">
        <v>1717</v>
      </c>
      <c r="C10" s="109">
        <v>1465</v>
      </c>
      <c r="D10" s="109">
        <v>3797</v>
      </c>
      <c r="E10" s="109">
        <v>2055</v>
      </c>
      <c r="F10" s="109">
        <v>2</v>
      </c>
      <c r="G10" s="109">
        <v>0</v>
      </c>
      <c r="H10" s="109">
        <v>0</v>
      </c>
      <c r="I10" s="109">
        <v>0</v>
      </c>
      <c r="J10" s="109">
        <v>259</v>
      </c>
      <c r="K10" s="109">
        <v>130</v>
      </c>
      <c r="L10" s="109">
        <v>796</v>
      </c>
      <c r="M10" s="109">
        <v>477</v>
      </c>
      <c r="N10" s="177">
        <f t="shared" si="0"/>
        <v>10698</v>
      </c>
    </row>
    <row r="11" spans="1:14">
      <c r="A11" s="83" t="s">
        <v>72</v>
      </c>
      <c r="B11" s="109">
        <v>5036</v>
      </c>
      <c r="C11" s="109">
        <v>2676</v>
      </c>
      <c r="D11" s="109">
        <v>3575</v>
      </c>
      <c r="E11" s="109">
        <v>1837</v>
      </c>
      <c r="F11" s="109">
        <v>2515</v>
      </c>
      <c r="G11" s="109">
        <v>469</v>
      </c>
      <c r="H11" s="109">
        <v>642</v>
      </c>
      <c r="I11" s="109">
        <v>534</v>
      </c>
      <c r="J11" s="109">
        <v>517</v>
      </c>
      <c r="K11" s="109">
        <v>695</v>
      </c>
      <c r="L11" s="109">
        <v>1735</v>
      </c>
      <c r="M11" s="109">
        <v>2979</v>
      </c>
      <c r="N11" s="177">
        <f t="shared" si="0"/>
        <v>23210</v>
      </c>
    </row>
    <row r="12" spans="1:14">
      <c r="A12" s="83" t="s">
        <v>73</v>
      </c>
      <c r="B12" s="109">
        <v>4084</v>
      </c>
      <c r="C12" s="109">
        <v>5019</v>
      </c>
      <c r="D12" s="109">
        <v>4553</v>
      </c>
      <c r="E12" s="109">
        <v>2569</v>
      </c>
      <c r="F12" s="109">
        <v>2736</v>
      </c>
      <c r="G12" s="109">
        <v>189</v>
      </c>
      <c r="H12" s="109">
        <v>198</v>
      </c>
      <c r="I12" s="109">
        <v>187</v>
      </c>
      <c r="J12" s="109">
        <v>418</v>
      </c>
      <c r="K12" s="109">
        <v>599</v>
      </c>
      <c r="L12" s="109">
        <v>3541</v>
      </c>
      <c r="M12" s="109">
        <v>4499</v>
      </c>
      <c r="N12" s="177">
        <f t="shared" si="0"/>
        <v>28592</v>
      </c>
    </row>
    <row r="13" spans="1:14">
      <c r="A13" s="83" t="s">
        <v>74</v>
      </c>
      <c r="B13" s="109">
        <v>16918</v>
      </c>
      <c r="C13" s="109">
        <v>22417</v>
      </c>
      <c r="D13" s="109">
        <v>18913</v>
      </c>
      <c r="E13" s="109">
        <v>11234</v>
      </c>
      <c r="F13" s="109">
        <v>7498</v>
      </c>
      <c r="G13" s="109">
        <v>995</v>
      </c>
      <c r="H13" s="109">
        <v>3174</v>
      </c>
      <c r="I13" s="109">
        <v>2009</v>
      </c>
      <c r="J13" s="109">
        <v>2077</v>
      </c>
      <c r="K13" s="109">
        <v>3329</v>
      </c>
      <c r="L13" s="109">
        <v>9861</v>
      </c>
      <c r="M13" s="109">
        <v>20173</v>
      </c>
      <c r="N13" s="177">
        <f t="shared" si="0"/>
        <v>118598</v>
      </c>
    </row>
    <row r="14" spans="1:14">
      <c r="A14" s="83" t="s">
        <v>75</v>
      </c>
      <c r="B14" s="109">
        <v>8688</v>
      </c>
      <c r="C14" s="109">
        <v>13549</v>
      </c>
      <c r="D14" s="109">
        <v>8462</v>
      </c>
      <c r="E14" s="109">
        <v>5938</v>
      </c>
      <c r="F14" s="109">
        <v>5517</v>
      </c>
      <c r="G14" s="109">
        <v>435</v>
      </c>
      <c r="H14" s="109">
        <v>486</v>
      </c>
      <c r="I14" s="109">
        <v>441</v>
      </c>
      <c r="J14" s="109">
        <v>93</v>
      </c>
      <c r="K14" s="109">
        <v>935</v>
      </c>
      <c r="L14" s="109">
        <v>7162</v>
      </c>
      <c r="M14" s="109">
        <v>9976</v>
      </c>
      <c r="N14" s="177">
        <f t="shared" si="0"/>
        <v>61682</v>
      </c>
    </row>
    <row r="15" spans="1:14">
      <c r="A15" s="83" t="s">
        <v>22</v>
      </c>
      <c r="B15" s="109">
        <v>161</v>
      </c>
      <c r="C15" s="109">
        <v>219</v>
      </c>
      <c r="D15" s="109">
        <v>3559</v>
      </c>
      <c r="E15" s="109">
        <v>1371</v>
      </c>
      <c r="F15" s="109">
        <v>130</v>
      </c>
      <c r="G15" s="109">
        <v>0</v>
      </c>
      <c r="H15" s="109">
        <v>755</v>
      </c>
      <c r="I15" s="109">
        <v>0</v>
      </c>
      <c r="J15" s="109">
        <v>120</v>
      </c>
      <c r="K15" s="109">
        <v>77</v>
      </c>
      <c r="L15" s="109">
        <v>486</v>
      </c>
      <c r="M15" s="109">
        <v>1111</v>
      </c>
      <c r="N15" s="177">
        <f t="shared" si="0"/>
        <v>7989</v>
      </c>
    </row>
    <row r="16" spans="1:14">
      <c r="A16" s="83" t="s">
        <v>76</v>
      </c>
      <c r="B16" s="109">
        <v>10296</v>
      </c>
      <c r="C16" s="109">
        <v>13456</v>
      </c>
      <c r="D16" s="109">
        <v>11429</v>
      </c>
      <c r="E16" s="109">
        <v>6927</v>
      </c>
      <c r="F16" s="109">
        <v>2106</v>
      </c>
      <c r="G16" s="109">
        <v>958</v>
      </c>
      <c r="H16" s="109">
        <v>899</v>
      </c>
      <c r="I16" s="109">
        <v>543</v>
      </c>
      <c r="J16" s="109">
        <v>989</v>
      </c>
      <c r="K16" s="109">
        <v>1662</v>
      </c>
      <c r="L16" s="109">
        <v>5500</v>
      </c>
      <c r="M16" s="109">
        <v>8035</v>
      </c>
      <c r="N16" s="177">
        <f t="shared" si="0"/>
        <v>62800</v>
      </c>
    </row>
    <row r="17" spans="1:14">
      <c r="A17" s="83" t="s">
        <v>77</v>
      </c>
      <c r="B17" s="109">
        <v>2747</v>
      </c>
      <c r="C17" s="109">
        <v>10253</v>
      </c>
      <c r="D17" s="109">
        <v>8648</v>
      </c>
      <c r="E17" s="109">
        <v>5138</v>
      </c>
      <c r="F17" s="109">
        <v>7385</v>
      </c>
      <c r="G17" s="109">
        <v>452</v>
      </c>
      <c r="H17" s="109">
        <v>79</v>
      </c>
      <c r="I17" s="109">
        <v>254</v>
      </c>
      <c r="J17" s="109">
        <v>93</v>
      </c>
      <c r="K17" s="109">
        <v>749</v>
      </c>
      <c r="L17" s="109">
        <v>514</v>
      </c>
      <c r="M17" s="109">
        <v>8453</v>
      </c>
      <c r="N17" s="177">
        <f t="shared" si="0"/>
        <v>44765</v>
      </c>
    </row>
    <row r="18" spans="1:14">
      <c r="A18" s="83" t="s">
        <v>78</v>
      </c>
      <c r="B18" s="109">
        <v>1819</v>
      </c>
      <c r="C18" s="109">
        <v>2146</v>
      </c>
      <c r="D18" s="109">
        <v>1881</v>
      </c>
      <c r="E18" s="109">
        <v>1109</v>
      </c>
      <c r="F18" s="109">
        <v>376</v>
      </c>
      <c r="G18" s="109">
        <v>138</v>
      </c>
      <c r="H18" s="109">
        <v>136</v>
      </c>
      <c r="I18" s="109">
        <v>132</v>
      </c>
      <c r="J18" s="109">
        <v>123</v>
      </c>
      <c r="K18" s="109">
        <v>246</v>
      </c>
      <c r="L18" s="109">
        <v>627</v>
      </c>
      <c r="M18" s="109">
        <v>1849</v>
      </c>
      <c r="N18" s="177">
        <f t="shared" si="0"/>
        <v>10582</v>
      </c>
    </row>
    <row r="19" spans="1:14">
      <c r="A19" s="25" t="s">
        <v>79</v>
      </c>
      <c r="B19" s="217">
        <v>11564</v>
      </c>
      <c r="C19" s="217">
        <v>14304</v>
      </c>
      <c r="D19" s="217">
        <v>13624</v>
      </c>
      <c r="E19" s="217">
        <v>13377</v>
      </c>
      <c r="F19" s="217">
        <v>7931</v>
      </c>
      <c r="G19" s="217">
        <v>2549</v>
      </c>
      <c r="H19" s="217">
        <v>355</v>
      </c>
      <c r="I19" s="217">
        <v>342</v>
      </c>
      <c r="J19" s="217">
        <v>594</v>
      </c>
      <c r="K19" s="217">
        <v>1547</v>
      </c>
      <c r="L19" s="109">
        <v>7546</v>
      </c>
      <c r="M19" s="217">
        <v>13230</v>
      </c>
      <c r="N19" s="177">
        <f t="shared" si="0"/>
        <v>86963</v>
      </c>
    </row>
    <row r="20" spans="1:14">
      <c r="A20" s="25" t="s">
        <v>80</v>
      </c>
      <c r="B20" s="217">
        <v>1800</v>
      </c>
      <c r="C20" s="217">
        <v>2931</v>
      </c>
      <c r="D20" s="217">
        <v>2667</v>
      </c>
      <c r="E20" s="217">
        <v>1458</v>
      </c>
      <c r="F20" s="217">
        <v>46</v>
      </c>
      <c r="G20" s="217">
        <v>0</v>
      </c>
      <c r="H20" s="217">
        <v>0</v>
      </c>
      <c r="I20" s="217">
        <v>0</v>
      </c>
      <c r="J20" s="217">
        <v>54</v>
      </c>
      <c r="K20" s="217">
        <v>177</v>
      </c>
      <c r="L20" s="217">
        <v>453</v>
      </c>
      <c r="M20" s="217">
        <v>2561</v>
      </c>
      <c r="N20" s="177">
        <f t="shared" si="0"/>
        <v>12147</v>
      </c>
    </row>
    <row r="21" spans="1:14">
      <c r="A21" s="25" t="s">
        <v>81</v>
      </c>
      <c r="B21" s="217">
        <v>20478</v>
      </c>
      <c r="C21" s="217">
        <v>3399</v>
      </c>
      <c r="D21" s="217">
        <v>84338</v>
      </c>
      <c r="E21" s="217">
        <v>20951</v>
      </c>
      <c r="F21" s="217">
        <v>13133</v>
      </c>
      <c r="G21" s="217">
        <v>6209</v>
      </c>
      <c r="H21" s="217">
        <v>1119</v>
      </c>
      <c r="I21" s="217">
        <v>4343</v>
      </c>
      <c r="J21" s="217">
        <v>2668</v>
      </c>
      <c r="K21" s="217">
        <v>6229</v>
      </c>
      <c r="L21" s="217">
        <v>17022</v>
      </c>
      <c r="M21" s="217">
        <v>26912</v>
      </c>
      <c r="N21" s="177">
        <f t="shared" si="0"/>
        <v>206801</v>
      </c>
    </row>
    <row r="22" spans="1:14">
      <c r="A22" s="25" t="s">
        <v>23</v>
      </c>
      <c r="B22" s="217">
        <v>28529</v>
      </c>
      <c r="C22" s="217">
        <v>52832</v>
      </c>
      <c r="D22" s="217">
        <v>54041</v>
      </c>
      <c r="E22" s="217">
        <v>29390</v>
      </c>
      <c r="F22" s="217">
        <v>16085</v>
      </c>
      <c r="G22" s="217">
        <v>7666</v>
      </c>
      <c r="H22" s="217">
        <v>8535</v>
      </c>
      <c r="I22" s="217">
        <v>6097</v>
      </c>
      <c r="J22" s="217">
        <v>6841</v>
      </c>
      <c r="K22" s="217">
        <v>11337</v>
      </c>
      <c r="L22" s="217">
        <v>29226</v>
      </c>
      <c r="M22" s="217">
        <v>44877</v>
      </c>
      <c r="N22" s="177">
        <f t="shared" si="0"/>
        <v>295456</v>
      </c>
    </row>
    <row r="23" spans="1:14" ht="15.75" thickBot="1">
      <c r="A23" s="25" t="s">
        <v>24</v>
      </c>
      <c r="B23" s="156">
        <v>22889</v>
      </c>
      <c r="C23" s="156">
        <v>22632</v>
      </c>
      <c r="D23" s="156">
        <v>21643</v>
      </c>
      <c r="E23" s="156">
        <v>13150</v>
      </c>
      <c r="F23" s="156">
        <v>15708</v>
      </c>
      <c r="G23" s="156">
        <v>3555</v>
      </c>
      <c r="H23" s="156">
        <v>5568</v>
      </c>
      <c r="I23" s="156">
        <v>4409</v>
      </c>
      <c r="J23" s="156">
        <v>1549</v>
      </c>
      <c r="K23" s="156">
        <v>4217</v>
      </c>
      <c r="L23" s="156">
        <v>13348</v>
      </c>
      <c r="M23" s="156">
        <v>20267</v>
      </c>
      <c r="N23" s="180">
        <f t="shared" si="0"/>
        <v>148935</v>
      </c>
    </row>
    <row r="24" spans="1:14" ht="16.5" thickTop="1" thickBot="1">
      <c r="A24" s="84" t="s">
        <v>45</v>
      </c>
      <c r="B24" s="218">
        <f>SUM(B4:B23)</f>
        <v>302173</v>
      </c>
      <c r="C24" s="218">
        <f t="shared" ref="C24:M24" si="1">SUM(C4:C23)</f>
        <v>406802</v>
      </c>
      <c r="D24" s="218">
        <f t="shared" si="1"/>
        <v>465572</v>
      </c>
      <c r="E24" s="218">
        <f t="shared" si="1"/>
        <v>290794</v>
      </c>
      <c r="F24" s="218">
        <f t="shared" si="1"/>
        <v>184408</v>
      </c>
      <c r="G24" s="218">
        <f t="shared" si="1"/>
        <v>57871</v>
      </c>
      <c r="H24" s="218">
        <f t="shared" si="1"/>
        <v>38694</v>
      </c>
      <c r="I24" s="218">
        <f t="shared" si="1"/>
        <v>32723</v>
      </c>
      <c r="J24" s="218">
        <f t="shared" si="1"/>
        <v>32907</v>
      </c>
      <c r="K24" s="218">
        <f t="shared" si="1"/>
        <v>55914</v>
      </c>
      <c r="L24" s="218">
        <f t="shared" si="1"/>
        <v>176428</v>
      </c>
      <c r="M24" s="218">
        <f t="shared" si="1"/>
        <v>354978</v>
      </c>
      <c r="N24" s="219">
        <f t="shared" si="0"/>
        <v>2399264</v>
      </c>
    </row>
    <row r="25" spans="1:14">
      <c r="A25" s="6"/>
      <c r="B25" s="220"/>
      <c r="C25" s="220"/>
      <c r="D25" s="220"/>
      <c r="E25" s="220"/>
      <c r="F25" s="220"/>
      <c r="G25" s="220"/>
      <c r="H25" s="220"/>
      <c r="I25" s="220"/>
      <c r="J25" s="220"/>
      <c r="K25" s="220"/>
      <c r="L25" s="220"/>
      <c r="M25" s="220"/>
      <c r="N25" s="221"/>
    </row>
    <row r="26" spans="1:14" ht="15.75" thickBot="1">
      <c r="A26" s="6" t="s">
        <v>15</v>
      </c>
      <c r="B26" s="221"/>
      <c r="C26" s="221"/>
      <c r="D26" s="221"/>
      <c r="E26" s="221"/>
      <c r="F26" s="221"/>
      <c r="G26" s="221"/>
      <c r="H26" s="221"/>
      <c r="I26" s="221"/>
      <c r="J26" s="221"/>
      <c r="K26" s="221"/>
      <c r="L26" s="221"/>
      <c r="M26" s="221"/>
      <c r="N26" s="221"/>
    </row>
    <row r="27" spans="1:14">
      <c r="A27" s="5" t="s">
        <v>85</v>
      </c>
      <c r="B27" s="222">
        <v>1826</v>
      </c>
      <c r="C27" s="222">
        <v>2279</v>
      </c>
      <c r="D27" s="222">
        <v>1855</v>
      </c>
      <c r="E27" s="222">
        <v>984</v>
      </c>
      <c r="F27" s="222">
        <v>238</v>
      </c>
      <c r="G27" s="222">
        <v>0</v>
      </c>
      <c r="H27" s="222">
        <v>456</v>
      </c>
      <c r="I27" s="222">
        <v>0</v>
      </c>
      <c r="J27" s="222">
        <v>111</v>
      </c>
      <c r="K27" s="222">
        <v>217</v>
      </c>
      <c r="L27" s="222">
        <v>1067</v>
      </c>
      <c r="M27" s="222">
        <v>1989</v>
      </c>
      <c r="N27" s="176">
        <f>SUM(B27:M27)</f>
        <v>11022</v>
      </c>
    </row>
    <row r="28" spans="1:14">
      <c r="A28" s="3" t="s">
        <v>86</v>
      </c>
      <c r="B28" s="109">
        <v>636</v>
      </c>
      <c r="C28" s="109">
        <v>484</v>
      </c>
      <c r="D28" s="109">
        <v>810</v>
      </c>
      <c r="E28" s="107">
        <v>679</v>
      </c>
      <c r="F28" s="109">
        <v>657</v>
      </c>
      <c r="G28" s="109">
        <v>635</v>
      </c>
      <c r="H28" s="109">
        <v>466</v>
      </c>
      <c r="I28" s="109">
        <v>279</v>
      </c>
      <c r="J28" s="109">
        <v>102</v>
      </c>
      <c r="K28" s="109">
        <v>202</v>
      </c>
      <c r="L28" s="217">
        <v>649</v>
      </c>
      <c r="M28" s="217">
        <v>423</v>
      </c>
      <c r="N28" s="177">
        <f t="shared" ref="N28:N34" si="2">SUM(B28:M28)</f>
        <v>6022</v>
      </c>
    </row>
    <row r="29" spans="1:14">
      <c r="A29" s="3" t="s">
        <v>87</v>
      </c>
      <c r="B29" s="109">
        <v>5537</v>
      </c>
      <c r="C29" s="109">
        <v>5209</v>
      </c>
      <c r="D29" s="109">
        <v>5076</v>
      </c>
      <c r="E29" s="109">
        <v>2456</v>
      </c>
      <c r="F29" s="109">
        <v>622</v>
      </c>
      <c r="G29" s="109">
        <v>34</v>
      </c>
      <c r="H29" s="109">
        <v>1707</v>
      </c>
      <c r="I29" s="109">
        <v>34</v>
      </c>
      <c r="J29" s="109">
        <v>927</v>
      </c>
      <c r="K29" s="109">
        <v>571</v>
      </c>
      <c r="L29" s="109">
        <v>4197</v>
      </c>
      <c r="M29" s="109">
        <v>4929</v>
      </c>
      <c r="N29" s="177">
        <f t="shared" si="2"/>
        <v>31299</v>
      </c>
    </row>
    <row r="30" spans="1:14">
      <c r="A30" s="3" t="s">
        <v>88</v>
      </c>
      <c r="B30" s="109">
        <v>1803</v>
      </c>
      <c r="C30" s="109">
        <v>2431</v>
      </c>
      <c r="D30" s="109">
        <v>1738</v>
      </c>
      <c r="E30" s="109">
        <v>984</v>
      </c>
      <c r="F30" s="109">
        <v>237</v>
      </c>
      <c r="G30" s="109">
        <v>0</v>
      </c>
      <c r="H30" s="109">
        <v>291</v>
      </c>
      <c r="I30" s="109">
        <v>0</v>
      </c>
      <c r="J30" s="109">
        <v>0</v>
      </c>
      <c r="K30" s="109">
        <v>218</v>
      </c>
      <c r="L30" s="109">
        <v>845</v>
      </c>
      <c r="M30" s="109">
        <v>1992</v>
      </c>
      <c r="N30" s="177">
        <f t="shared" si="2"/>
        <v>10539</v>
      </c>
    </row>
    <row r="31" spans="1:14">
      <c r="A31" s="3" t="s">
        <v>89</v>
      </c>
      <c r="B31" s="109">
        <v>876</v>
      </c>
      <c r="C31" s="109">
        <v>1161</v>
      </c>
      <c r="D31" s="109">
        <v>789</v>
      </c>
      <c r="E31" s="109">
        <v>472</v>
      </c>
      <c r="F31" s="109">
        <v>128</v>
      </c>
      <c r="G31" s="109">
        <v>17</v>
      </c>
      <c r="H31" s="109">
        <v>228</v>
      </c>
      <c r="I31" s="109">
        <v>18</v>
      </c>
      <c r="J31" s="109">
        <v>14</v>
      </c>
      <c r="K31" s="109">
        <v>119</v>
      </c>
      <c r="L31" s="109">
        <v>445</v>
      </c>
      <c r="M31" s="109">
        <v>936</v>
      </c>
      <c r="N31" s="177">
        <f t="shared" si="2"/>
        <v>5203</v>
      </c>
    </row>
    <row r="32" spans="1:14">
      <c r="A32" s="3" t="s">
        <v>90</v>
      </c>
      <c r="B32" s="109">
        <v>738</v>
      </c>
      <c r="C32" s="109">
        <v>630</v>
      </c>
      <c r="D32" s="109">
        <v>907</v>
      </c>
      <c r="E32" s="109">
        <v>805</v>
      </c>
      <c r="F32" s="109">
        <v>780</v>
      </c>
      <c r="G32" s="109">
        <v>755</v>
      </c>
      <c r="H32" s="109">
        <v>760</v>
      </c>
      <c r="I32" s="109">
        <v>382</v>
      </c>
      <c r="J32" s="109">
        <v>353</v>
      </c>
      <c r="K32" s="109">
        <v>181</v>
      </c>
      <c r="L32" s="109">
        <v>1072</v>
      </c>
      <c r="M32" s="109">
        <v>534</v>
      </c>
      <c r="N32" s="177">
        <f t="shared" si="2"/>
        <v>7897</v>
      </c>
    </row>
    <row r="33" spans="1:14">
      <c r="A33" s="3" t="s">
        <v>93</v>
      </c>
      <c r="B33" s="109">
        <v>3374</v>
      </c>
      <c r="C33" s="109">
        <v>4180</v>
      </c>
      <c r="D33" s="109">
        <v>3739</v>
      </c>
      <c r="E33" s="109">
        <v>1894</v>
      </c>
      <c r="F33" s="109">
        <v>478</v>
      </c>
      <c r="G33" s="109">
        <v>25</v>
      </c>
      <c r="H33" s="109">
        <v>594</v>
      </c>
      <c r="I33" s="109">
        <v>25</v>
      </c>
      <c r="J33" s="109">
        <v>8</v>
      </c>
      <c r="K33" s="109">
        <v>438</v>
      </c>
      <c r="L33" s="109">
        <v>2081</v>
      </c>
      <c r="M33" s="109">
        <v>3803</v>
      </c>
      <c r="N33" s="177">
        <f t="shared" si="2"/>
        <v>20639</v>
      </c>
    </row>
    <row r="34" spans="1:14" ht="15.75" thickBot="1">
      <c r="A34" s="3" t="s">
        <v>13</v>
      </c>
      <c r="B34" s="223">
        <f>28406+949</f>
        <v>29355</v>
      </c>
      <c r="C34" s="223">
        <f>3295+3937</f>
        <v>7232</v>
      </c>
      <c r="D34" s="223">
        <f>12401+2170</f>
        <v>14571</v>
      </c>
      <c r="E34" s="223">
        <f>8600+1149</f>
        <v>9749</v>
      </c>
      <c r="F34" s="223">
        <v>1632</v>
      </c>
      <c r="G34" s="223">
        <f>111+4409</f>
        <v>4520</v>
      </c>
      <c r="H34" s="223">
        <f>1670+63</f>
        <v>1733</v>
      </c>
      <c r="I34" s="223">
        <v>868</v>
      </c>
      <c r="J34" s="223">
        <v>22</v>
      </c>
      <c r="K34" s="223">
        <f>605</f>
        <v>605</v>
      </c>
      <c r="L34" s="223">
        <v>458</v>
      </c>
      <c r="M34" s="223">
        <v>0</v>
      </c>
      <c r="N34" s="180">
        <f t="shared" si="2"/>
        <v>70745</v>
      </c>
    </row>
    <row r="35" spans="1:14" ht="16.5" thickTop="1" thickBot="1">
      <c r="A35" s="84" t="s">
        <v>46</v>
      </c>
      <c r="B35" s="218">
        <f>SUM(B27:B34)</f>
        <v>44145</v>
      </c>
      <c r="C35" s="218">
        <f t="shared" ref="C35:N35" si="3">SUM(C27:C34)</f>
        <v>23606</v>
      </c>
      <c r="D35" s="218">
        <f t="shared" si="3"/>
        <v>29485</v>
      </c>
      <c r="E35" s="218">
        <f t="shared" si="3"/>
        <v>18023</v>
      </c>
      <c r="F35" s="218">
        <f t="shared" si="3"/>
        <v>4772</v>
      </c>
      <c r="G35" s="218">
        <f t="shared" si="3"/>
        <v>5986</v>
      </c>
      <c r="H35" s="218">
        <f t="shared" si="3"/>
        <v>6235</v>
      </c>
      <c r="I35" s="218">
        <f t="shared" si="3"/>
        <v>1606</v>
      </c>
      <c r="J35" s="218">
        <f t="shared" si="3"/>
        <v>1537</v>
      </c>
      <c r="K35" s="218">
        <f t="shared" si="3"/>
        <v>2551</v>
      </c>
      <c r="L35" s="218">
        <f t="shared" si="3"/>
        <v>10814</v>
      </c>
      <c r="M35" s="218">
        <f t="shared" si="3"/>
        <v>14606</v>
      </c>
      <c r="N35" s="219">
        <f t="shared" si="3"/>
        <v>163366</v>
      </c>
    </row>
    <row r="36" spans="1:14" ht="15.75" thickBot="1">
      <c r="A36" s="4"/>
      <c r="B36" s="220"/>
      <c r="C36" s="220"/>
      <c r="D36" s="220"/>
      <c r="E36" s="220"/>
      <c r="F36" s="220"/>
      <c r="G36" s="220"/>
      <c r="H36" s="220"/>
      <c r="I36" s="220"/>
      <c r="J36" s="220"/>
      <c r="K36" s="220"/>
      <c r="L36" s="220"/>
      <c r="M36" s="220"/>
      <c r="N36" s="220"/>
    </row>
    <row r="37" spans="1:14" ht="15.75" thickBot="1">
      <c r="A37" s="85" t="s">
        <v>61</v>
      </c>
      <c r="B37" s="224">
        <f t="shared" ref="B37:N37" si="4">B24+B35</f>
        <v>346318</v>
      </c>
      <c r="C37" s="224">
        <f t="shared" si="4"/>
        <v>430408</v>
      </c>
      <c r="D37" s="224">
        <f t="shared" si="4"/>
        <v>495057</v>
      </c>
      <c r="E37" s="224">
        <f t="shared" si="4"/>
        <v>308817</v>
      </c>
      <c r="F37" s="224">
        <f t="shared" si="4"/>
        <v>189180</v>
      </c>
      <c r="G37" s="224">
        <f t="shared" si="4"/>
        <v>63857</v>
      </c>
      <c r="H37" s="224">
        <f t="shared" si="4"/>
        <v>44929</v>
      </c>
      <c r="I37" s="224">
        <f t="shared" si="4"/>
        <v>34329</v>
      </c>
      <c r="J37" s="224">
        <f t="shared" si="4"/>
        <v>34444</v>
      </c>
      <c r="K37" s="224">
        <f t="shared" si="4"/>
        <v>58465</v>
      </c>
      <c r="L37" s="224">
        <f t="shared" si="4"/>
        <v>187242</v>
      </c>
      <c r="M37" s="224">
        <f t="shared" si="4"/>
        <v>369584</v>
      </c>
      <c r="N37" s="225">
        <f t="shared" si="4"/>
        <v>2562630</v>
      </c>
    </row>
  </sheetData>
  <pageMargins left="0.7" right="0.7" top="0.75" bottom="0.75" header="0.3" footer="0.3"/>
  <pageSetup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tabSelected="1" workbookViewId="0">
      <selection activeCell="M18" sqref="M18"/>
    </sheetView>
  </sheetViews>
  <sheetFormatPr defaultRowHeight="15"/>
  <cols>
    <col min="1" max="1" width="13.28515625" customWidth="1"/>
    <col min="2" max="2" width="15.7109375" customWidth="1"/>
    <col min="4" max="4" width="13.28515625" customWidth="1"/>
    <col min="5" max="5" width="14.42578125" customWidth="1"/>
    <col min="6" max="6" width="13.28515625" customWidth="1"/>
    <col min="7" max="7" width="18.5703125" customWidth="1"/>
    <col min="8" max="8" width="21.7109375" customWidth="1"/>
    <col min="9" max="9" width="17.42578125" customWidth="1"/>
    <col min="10" max="10" width="14.7109375" customWidth="1"/>
    <col min="11" max="11" width="13.7109375" customWidth="1"/>
  </cols>
  <sheetData>
    <row r="1" spans="1:11">
      <c r="A1" s="378"/>
      <c r="B1" s="388" t="s">
        <v>156</v>
      </c>
      <c r="C1" s="388"/>
      <c r="D1" s="388"/>
      <c r="E1" s="388"/>
      <c r="F1" s="388"/>
      <c r="G1" s="388"/>
      <c r="H1" s="388"/>
      <c r="I1" s="388"/>
      <c r="J1" s="379" t="s">
        <v>157</v>
      </c>
      <c r="K1" s="389" t="s">
        <v>158</v>
      </c>
    </row>
    <row r="2" spans="1:11" ht="30">
      <c r="A2" s="380"/>
      <c r="B2" s="381" t="s">
        <v>159</v>
      </c>
      <c r="C2" s="381" t="s">
        <v>160</v>
      </c>
      <c r="D2" s="381" t="s">
        <v>161</v>
      </c>
      <c r="E2" s="381" t="s">
        <v>162</v>
      </c>
      <c r="F2" s="381" t="s">
        <v>163</v>
      </c>
      <c r="G2" s="381" t="s">
        <v>164</v>
      </c>
      <c r="H2" s="381" t="s">
        <v>165</v>
      </c>
      <c r="I2" s="381" t="s">
        <v>166</v>
      </c>
      <c r="J2" s="382" t="s">
        <v>167</v>
      </c>
      <c r="K2" s="390"/>
    </row>
    <row r="3" spans="1:11">
      <c r="A3" s="383">
        <v>1990</v>
      </c>
      <c r="B3" s="384">
        <f>998031*1899/1000000</f>
        <v>1895.260869</v>
      </c>
      <c r="C3" s="384">
        <f>5182*2762/1000000</f>
        <v>14.312684000000001</v>
      </c>
      <c r="D3" s="384" t="s">
        <v>168</v>
      </c>
      <c r="E3" s="384" t="s">
        <v>168</v>
      </c>
      <c r="F3" s="384" t="s">
        <v>168</v>
      </c>
      <c r="G3" s="384" t="s">
        <v>168</v>
      </c>
      <c r="H3" s="384" t="s">
        <v>168</v>
      </c>
      <c r="I3" s="384" t="s">
        <v>168</v>
      </c>
      <c r="J3" s="384">
        <f>8851269*220/1000000</f>
        <v>1947.27918</v>
      </c>
      <c r="K3" s="384">
        <f>SUM(B3:J3)</f>
        <v>3856.8527329999997</v>
      </c>
    </row>
    <row r="4" spans="1:11">
      <c r="A4" s="383">
        <v>2005</v>
      </c>
      <c r="B4" s="384">
        <f>1912590*1899/1000000</f>
        <v>3632.0084099999999</v>
      </c>
      <c r="C4" s="384">
        <f>4774*2762/1000000</f>
        <v>13.185788000000001</v>
      </c>
      <c r="D4" s="384" t="s">
        <v>168</v>
      </c>
      <c r="E4" s="384" t="s">
        <v>168</v>
      </c>
      <c r="F4" s="384" t="s">
        <v>168</v>
      </c>
      <c r="G4" s="384" t="s">
        <v>168</v>
      </c>
      <c r="H4" s="384" t="s">
        <v>168</v>
      </c>
      <c r="I4" s="384" t="s">
        <v>168</v>
      </c>
      <c r="J4" s="384">
        <f>10988934*250/1000000</f>
        <v>2747.2334999999998</v>
      </c>
      <c r="K4" s="384">
        <f t="shared" ref="K4:K19" si="0">SUM(B4:J4)</f>
        <v>6392.4276979999995</v>
      </c>
    </row>
    <row r="5" spans="1:11">
      <c r="A5" s="383">
        <v>2007</v>
      </c>
      <c r="B5" s="384">
        <f>2562630*1899/1000000</f>
        <v>4866.4343699999999</v>
      </c>
      <c r="C5" s="384">
        <f>4566*2762/1000000</f>
        <v>12.611292000000001</v>
      </c>
      <c r="D5" s="384" t="s">
        <v>168</v>
      </c>
      <c r="E5" s="384" t="s">
        <v>168</v>
      </c>
      <c r="F5" s="384" t="s">
        <v>168</v>
      </c>
      <c r="G5" s="384" t="s">
        <v>168</v>
      </c>
      <c r="H5" s="384" t="s">
        <v>168</v>
      </c>
      <c r="I5" s="384" t="s">
        <v>168</v>
      </c>
      <c r="J5" s="384">
        <f>14637415*240/1000000</f>
        <v>3512.9796000000001</v>
      </c>
      <c r="K5" s="384">
        <f t="shared" si="0"/>
        <v>8392.0252619999992</v>
      </c>
    </row>
    <row r="6" spans="1:11">
      <c r="A6" s="383">
        <v>2008</v>
      </c>
      <c r="B6" s="384">
        <f>2668188*1899/1000000</f>
        <v>5066.8890119999996</v>
      </c>
      <c r="C6" s="384">
        <f>6795*2762/1000000</f>
        <v>18.767790000000002</v>
      </c>
      <c r="D6" s="384" t="s">
        <v>168</v>
      </c>
      <c r="E6" s="384" t="s">
        <v>168</v>
      </c>
      <c r="F6" s="384" t="s">
        <v>168</v>
      </c>
      <c r="G6" s="384" t="s">
        <v>168</v>
      </c>
      <c r="H6" s="384" t="s">
        <v>168</v>
      </c>
      <c r="I6" s="384" t="s">
        <v>168</v>
      </c>
      <c r="J6" s="384">
        <f>11980163*170/1000000</f>
        <v>2036.62771</v>
      </c>
      <c r="K6" s="384">
        <f t="shared" si="0"/>
        <v>7122.2845119999993</v>
      </c>
    </row>
    <row r="7" spans="1:11">
      <c r="A7" s="383">
        <v>2009</v>
      </c>
      <c r="B7" s="384">
        <f>2394056*1899/1000000</f>
        <v>4546.3123439999999</v>
      </c>
      <c r="C7" s="384">
        <f>4303*2762/1000000</f>
        <v>11.884886</v>
      </c>
      <c r="D7" s="384" t="s">
        <v>168</v>
      </c>
      <c r="E7" s="384" t="s">
        <v>168</v>
      </c>
      <c r="F7" s="384" t="s">
        <v>168</v>
      </c>
      <c r="G7" s="384" t="s">
        <v>168</v>
      </c>
      <c r="H7" s="384" t="s">
        <v>168</v>
      </c>
      <c r="I7" s="384" t="s">
        <v>168</v>
      </c>
      <c r="J7" s="384">
        <f>11968337*120/1000000</f>
        <v>1436.2004400000001</v>
      </c>
      <c r="K7" s="384">
        <f t="shared" si="0"/>
        <v>5994.3976700000003</v>
      </c>
    </row>
    <row r="8" spans="1:11">
      <c r="A8" s="383">
        <v>2010</v>
      </c>
      <c r="B8" s="384">
        <f>2438198*1899/1000000</f>
        <v>4630.1380019999997</v>
      </c>
      <c r="C8" s="384">
        <f>7629*2762/1000000</f>
        <v>21.071297999999999</v>
      </c>
      <c r="D8" s="384" t="s">
        <v>168</v>
      </c>
      <c r="E8" s="384" t="s">
        <v>168</v>
      </c>
      <c r="F8" s="384" t="s">
        <v>168</v>
      </c>
      <c r="G8" s="384" t="s">
        <v>168</v>
      </c>
      <c r="H8" s="384" t="s">
        <v>168</v>
      </c>
      <c r="I8" s="384" t="s">
        <v>168</v>
      </c>
      <c r="J8" s="384">
        <f>11361615*140/1000000</f>
        <v>1590.6261</v>
      </c>
      <c r="K8" s="384">
        <f t="shared" si="0"/>
        <v>6241.8353999999999</v>
      </c>
    </row>
    <row r="9" spans="1:11">
      <c r="A9" s="383">
        <v>2011</v>
      </c>
      <c r="B9" s="384">
        <f>3303708*1899/1000000</f>
        <v>6273.7414920000001</v>
      </c>
      <c r="C9" s="384">
        <f>4350*2762/1000000</f>
        <v>12.014699999999999</v>
      </c>
      <c r="D9" s="384" t="s">
        <v>168</v>
      </c>
      <c r="E9" s="384" t="s">
        <v>168</v>
      </c>
      <c r="F9" s="384" t="s">
        <v>168</v>
      </c>
      <c r="G9" s="384" t="s">
        <v>168</v>
      </c>
      <c r="H9" s="384" t="s">
        <v>168</v>
      </c>
      <c r="I9" s="384" t="s">
        <v>168</v>
      </c>
      <c r="J9" s="384">
        <f>17790545*100/1000000</f>
        <v>1779.0545</v>
      </c>
      <c r="K9" s="384">
        <f t="shared" si="0"/>
        <v>8064.810692</v>
      </c>
    </row>
    <row r="10" spans="1:11">
      <c r="A10" s="383">
        <v>2012</v>
      </c>
      <c r="B10" s="384">
        <f>2799773*1899/1000000</f>
        <v>5316.7689270000001</v>
      </c>
      <c r="C10" s="384">
        <f>4573*2762/1000000</f>
        <v>12.630625999999999</v>
      </c>
      <c r="D10" s="384" t="s">
        <v>168</v>
      </c>
      <c r="E10" s="384" t="s">
        <v>168</v>
      </c>
      <c r="F10" s="384" t="s">
        <v>168</v>
      </c>
      <c r="G10" s="384" t="s">
        <v>168</v>
      </c>
      <c r="H10" s="384" t="s">
        <v>168</v>
      </c>
      <c r="I10" s="384" t="s">
        <v>168</v>
      </c>
      <c r="J10" s="384">
        <f>23544182*100/1000000</f>
        <v>2354.4182000000001</v>
      </c>
      <c r="K10" s="384">
        <f t="shared" si="0"/>
        <v>7683.8177530000003</v>
      </c>
    </row>
    <row r="11" spans="1:11">
      <c r="A11" s="383">
        <v>2013</v>
      </c>
      <c r="B11" s="384">
        <f>3199715*1899/1000000</f>
        <v>6076.258785</v>
      </c>
      <c r="C11" s="384">
        <f>3830*2762/1000000</f>
        <v>10.57846</v>
      </c>
      <c r="D11" s="384" t="s">
        <v>168</v>
      </c>
      <c r="E11" s="384" t="s">
        <v>168</v>
      </c>
      <c r="F11" s="384" t="s">
        <v>168</v>
      </c>
      <c r="G11" s="384" t="s">
        <v>168</v>
      </c>
      <c r="H11" s="384" t="s">
        <v>168</v>
      </c>
      <c r="I11" s="384" t="s">
        <v>168</v>
      </c>
      <c r="J11" s="384">
        <f>23457678*80/1000000</f>
        <v>1876.6142400000001</v>
      </c>
      <c r="K11" s="384">
        <f t="shared" si="0"/>
        <v>7963.4514849999996</v>
      </c>
    </row>
    <row r="12" spans="1:11">
      <c r="A12" s="383">
        <v>2014</v>
      </c>
      <c r="B12" s="384">
        <f>3405083*1899/1000000</f>
        <v>6466.2526170000001</v>
      </c>
      <c r="C12" s="384">
        <f>7827*2762/1000000</f>
        <v>21.618174</v>
      </c>
      <c r="D12" s="384" t="s">
        <v>168</v>
      </c>
      <c r="E12" s="384" t="s">
        <v>168</v>
      </c>
      <c r="F12" s="384" t="s">
        <v>168</v>
      </c>
      <c r="G12" s="384" t="s">
        <v>168</v>
      </c>
      <c r="H12" s="384" t="s">
        <v>168</v>
      </c>
      <c r="I12" s="384" t="s">
        <v>168</v>
      </c>
      <c r="J12" s="384">
        <f>23282003*40/1000000</f>
        <v>931.28012000000001</v>
      </c>
      <c r="K12" s="384">
        <f t="shared" si="0"/>
        <v>7419.1509110000006</v>
      </c>
    </row>
    <row r="13" spans="1:11">
      <c r="A13" s="383">
        <v>2015</v>
      </c>
      <c r="B13" s="384">
        <f>3079088*1899/1000000</f>
        <v>5847.1881119999998</v>
      </c>
      <c r="C13" s="384">
        <f>5556*2762/1000000</f>
        <v>15.345672</v>
      </c>
      <c r="D13" s="384">
        <v>129</v>
      </c>
      <c r="E13" s="384" t="s">
        <v>168</v>
      </c>
      <c r="F13" s="384">
        <f>1515*1549.047/1000000</f>
        <v>2.346806205</v>
      </c>
      <c r="G13" s="384" t="s">
        <v>168</v>
      </c>
      <c r="H13" s="384" t="s">
        <v>168</v>
      </c>
      <c r="I13" s="384" t="s">
        <v>168</v>
      </c>
      <c r="J13" s="384">
        <f>24032087*40/1000000</f>
        <v>961.28348000000005</v>
      </c>
      <c r="K13" s="384">
        <f t="shared" si="0"/>
        <v>6955.1640702049999</v>
      </c>
    </row>
    <row r="14" spans="1:11">
      <c r="A14" s="383">
        <v>2016</v>
      </c>
      <c r="B14" s="384">
        <f>2915308*1899/1000000</f>
        <v>5536.1698919999999</v>
      </c>
      <c r="C14" s="384">
        <f>6740*2762/1000000</f>
        <v>18.615880000000001</v>
      </c>
      <c r="D14" s="384">
        <v>119</v>
      </c>
      <c r="E14" s="384">
        <v>105.5</v>
      </c>
      <c r="F14" s="384">
        <f>1251*1549.047/1000000</f>
        <v>1.9378577969999999</v>
      </c>
      <c r="G14" s="384" t="s">
        <v>168</v>
      </c>
      <c r="H14" s="384" t="s">
        <v>168</v>
      </c>
      <c r="I14" s="384" t="s">
        <v>168</v>
      </c>
      <c r="J14" s="384">
        <f>23512841*40/1000000</f>
        <v>940.51364000000001</v>
      </c>
      <c r="K14" s="384">
        <f t="shared" si="0"/>
        <v>6721.7372697970004</v>
      </c>
    </row>
    <row r="15" spans="1:11">
      <c r="A15" s="383">
        <v>2017</v>
      </c>
      <c r="B15" s="384">
        <f>3169109*1899/1000000</f>
        <v>6018.1379909999996</v>
      </c>
      <c r="C15" s="384">
        <f>8626*2762/1000000</f>
        <v>23.825012000000001</v>
      </c>
      <c r="D15" s="384">
        <v>110</v>
      </c>
      <c r="E15" s="384">
        <v>74.58</v>
      </c>
      <c r="F15" s="384">
        <f>2355*1549.047/1000000</f>
        <v>3.6480056850000002</v>
      </c>
      <c r="G15" s="384" t="s">
        <v>168</v>
      </c>
      <c r="H15" s="384" t="s">
        <v>168</v>
      </c>
      <c r="I15" s="384" t="s">
        <v>168</v>
      </c>
      <c r="J15" s="384">
        <f>21277491*20/1000000</f>
        <v>425.54982000000001</v>
      </c>
      <c r="K15" s="384">
        <f t="shared" si="0"/>
        <v>6655.7408286849995</v>
      </c>
    </row>
    <row r="16" spans="1:11">
      <c r="A16" s="383">
        <v>2018</v>
      </c>
      <c r="B16" s="384">
        <f>3118908*1888/1000000</f>
        <v>5888.4983039999997</v>
      </c>
      <c r="C16" s="384">
        <f>5733*2762/1000000</f>
        <v>15.834546</v>
      </c>
      <c r="D16" s="384">
        <v>114</v>
      </c>
      <c r="E16" s="384">
        <v>102</v>
      </c>
      <c r="F16" s="384">
        <f>2220*1549.047/1000000</f>
        <v>3.43888434</v>
      </c>
      <c r="G16" s="384" t="s">
        <v>168</v>
      </c>
      <c r="H16" s="384" t="s">
        <v>168</v>
      </c>
      <c r="I16" s="384" t="s">
        <v>168</v>
      </c>
      <c r="J16" s="384">
        <f>22370521*30/1000000</f>
        <v>671.11563000000001</v>
      </c>
      <c r="K16" s="384">
        <f t="shared" si="0"/>
        <v>6794.8873643400002</v>
      </c>
    </row>
    <row r="17" spans="1:11">
      <c r="A17" s="383">
        <v>2019</v>
      </c>
      <c r="B17" s="384">
        <f>3279402*1899/1000000</f>
        <v>6227.584398</v>
      </c>
      <c r="C17" s="384">
        <f>8199*2762/1000000</f>
        <v>22.645638000000002</v>
      </c>
      <c r="D17" s="384">
        <v>141</v>
      </c>
      <c r="E17" s="384">
        <v>306</v>
      </c>
      <c r="F17" s="384">
        <f>2595*1549.047/1000000</f>
        <v>4.0197769650000001</v>
      </c>
      <c r="G17" s="384" t="s">
        <v>168</v>
      </c>
      <c r="H17" s="384" t="s">
        <v>168</v>
      </c>
      <c r="I17" s="384" t="s">
        <v>168</v>
      </c>
      <c r="J17" s="384">
        <f>21490150*30/1000000</f>
        <v>644.70450000000005</v>
      </c>
      <c r="K17" s="384">
        <f t="shared" si="0"/>
        <v>7345.9543129650001</v>
      </c>
    </row>
    <row r="18" spans="1:11">
      <c r="A18" s="383">
        <v>2020</v>
      </c>
      <c r="B18" s="384">
        <f>2947333*1899/1000000</f>
        <v>5596.9853670000002</v>
      </c>
      <c r="C18" s="384">
        <f>6057*2762/1000000</f>
        <v>16.729434000000001</v>
      </c>
      <c r="D18" s="384">
        <v>153</v>
      </c>
      <c r="E18" s="384">
        <v>12</v>
      </c>
      <c r="F18" s="384">
        <f>622*1549.047/1000000</f>
        <v>0.96350723400000005</v>
      </c>
      <c r="G18" s="384" t="s">
        <v>168</v>
      </c>
      <c r="H18" s="384" t="s">
        <v>168</v>
      </c>
      <c r="I18" s="384">
        <f>2784.43*2704.746/1000000</f>
        <v>7.5311759047799995</v>
      </c>
      <c r="J18" s="384">
        <f>19774501*30/1000000</f>
        <v>593.23503000000005</v>
      </c>
      <c r="K18" s="384">
        <f t="shared" si="0"/>
        <v>6380.4445141387796</v>
      </c>
    </row>
    <row r="19" spans="1:11">
      <c r="A19" s="383">
        <v>2021</v>
      </c>
      <c r="B19" s="384">
        <f>3060175*1899/1000000</f>
        <v>5811.2723249999999</v>
      </c>
      <c r="C19" s="384">
        <f>6661*2762/1000000</f>
        <v>18.397682</v>
      </c>
      <c r="D19" s="385">
        <v>153</v>
      </c>
      <c r="E19" s="385">
        <v>12</v>
      </c>
      <c r="F19" s="384">
        <f>1135*1549.047/1000000</f>
        <v>1.7581683450000001</v>
      </c>
      <c r="G19" s="384">
        <f>4047.1*2573.26/1000000</f>
        <v>10.414240546</v>
      </c>
      <c r="H19" s="384">
        <f>2784.877*1360.6/1000000</f>
        <v>3.7891036462000001</v>
      </c>
      <c r="I19" s="384">
        <f>5569.3*2704.746/1000000</f>
        <v>15.0635418978</v>
      </c>
      <c r="J19" s="384">
        <f>20371007*30/1000000</f>
        <v>611.13021000000003</v>
      </c>
      <c r="K19" s="384">
        <f t="shared" si="0"/>
        <v>6636.8252714349992</v>
      </c>
    </row>
    <row r="20" spans="1:11">
      <c r="A20" s="387">
        <v>2022</v>
      </c>
      <c r="B20" s="384">
        <f>3044630*1899/1000000</f>
        <v>5781.7523700000002</v>
      </c>
      <c r="C20" s="384">
        <f>5860*2762/1000000</f>
        <v>16.185320000000001</v>
      </c>
      <c r="D20" s="385">
        <v>153</v>
      </c>
      <c r="E20" s="385">
        <v>12</v>
      </c>
      <c r="F20" s="384">
        <f>1792*1549.047/1000000</f>
        <v>2.7758922240000001</v>
      </c>
      <c r="G20" s="385">
        <f>4047.1*2573.26/1000000</f>
        <v>10.414240546</v>
      </c>
      <c r="H20" s="385">
        <f>2784.877*1360.6/1000000</f>
        <v>3.7891036462000001</v>
      </c>
      <c r="I20" s="385">
        <f>5569.3*2704.746/1000000</f>
        <v>15.0635418978</v>
      </c>
      <c r="J20" s="384">
        <f>2107743*30/1000000</f>
        <v>63.232289999999999</v>
      </c>
      <c r="K20" s="384">
        <f t="shared" ref="K20" si="1">SUM(B20:J20)</f>
        <v>6058.2127583139991</v>
      </c>
    </row>
    <row r="21" spans="1:11">
      <c r="A21" s="386" t="s">
        <v>169</v>
      </c>
      <c r="B21" s="386"/>
      <c r="C21" s="386"/>
      <c r="D21" s="386"/>
    </row>
  </sheetData>
  <mergeCells count="2">
    <mergeCell ref="B1:I1"/>
    <mergeCell ref="K1:K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6"/>
  <sheetViews>
    <sheetView showGridLines="0" workbookViewId="0">
      <selection activeCell="A16" sqref="A16:XFD16"/>
    </sheetView>
  </sheetViews>
  <sheetFormatPr defaultColWidth="8.85546875" defaultRowHeight="15"/>
  <cols>
    <col min="1" max="1" width="38" customWidth="1"/>
    <col min="2" max="13" width="9.28515625" bestFit="1" customWidth="1"/>
    <col min="14" max="14" width="10.140625" bestFit="1" customWidth="1"/>
  </cols>
  <sheetData>
    <row r="1" spans="1:14" ht="17.25" thickBot="1">
      <c r="A1" s="82" t="s">
        <v>0</v>
      </c>
      <c r="B1" s="90">
        <v>39448</v>
      </c>
      <c r="C1" s="90">
        <v>39479</v>
      </c>
      <c r="D1" s="90">
        <v>39508</v>
      </c>
      <c r="E1" s="90">
        <v>39539</v>
      </c>
      <c r="F1" s="90">
        <v>39569</v>
      </c>
      <c r="G1" s="90">
        <v>39600</v>
      </c>
      <c r="H1" s="90">
        <v>39630</v>
      </c>
      <c r="I1" s="90">
        <v>39661</v>
      </c>
      <c r="J1" s="90">
        <v>39692</v>
      </c>
      <c r="K1" s="90">
        <v>39722</v>
      </c>
      <c r="L1" s="90">
        <v>39753</v>
      </c>
      <c r="M1" s="90">
        <v>39783</v>
      </c>
      <c r="N1" s="91" t="s">
        <v>131</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100" t="s">
        <v>91</v>
      </c>
      <c r="B4" s="184">
        <v>148329</v>
      </c>
      <c r="C4" s="184">
        <v>144571</v>
      </c>
      <c r="D4" s="184">
        <v>126863</v>
      </c>
      <c r="E4" s="184">
        <v>166479</v>
      </c>
      <c r="F4" s="184">
        <v>57790</v>
      </c>
      <c r="G4" s="184">
        <v>34723</v>
      </c>
      <c r="H4" s="184">
        <v>6532</v>
      </c>
      <c r="I4" s="184">
        <v>3078</v>
      </c>
      <c r="J4" s="184">
        <v>4531</v>
      </c>
      <c r="K4" s="184">
        <v>22051</v>
      </c>
      <c r="L4" s="184">
        <v>70255</v>
      </c>
      <c r="M4" s="184">
        <v>114228</v>
      </c>
      <c r="N4" s="176">
        <f>SUM(B4:M4)</f>
        <v>899430</v>
      </c>
    </row>
    <row r="5" spans="1:14">
      <c r="A5" s="101" t="s">
        <v>21</v>
      </c>
      <c r="B5" s="178">
        <v>38691</v>
      </c>
      <c r="C5" s="178">
        <v>39879</v>
      </c>
      <c r="D5" s="178">
        <v>43557</v>
      </c>
      <c r="E5" s="178">
        <v>37092</v>
      </c>
      <c r="F5" s="178">
        <v>19735</v>
      </c>
      <c r="G5" s="178">
        <v>11232</v>
      </c>
      <c r="H5" s="178">
        <v>1524</v>
      </c>
      <c r="I5" s="178">
        <v>1248</v>
      </c>
      <c r="J5" s="178">
        <v>1380</v>
      </c>
      <c r="K5" s="178">
        <v>1861</v>
      </c>
      <c r="L5" s="178">
        <v>19175</v>
      </c>
      <c r="M5" s="178">
        <v>29804</v>
      </c>
      <c r="N5" s="177">
        <f t="shared" ref="N5:N24" si="0">SUM(B5:M5)</f>
        <v>245178</v>
      </c>
    </row>
    <row r="6" spans="1:14">
      <c r="A6" s="83" t="s">
        <v>92</v>
      </c>
      <c r="B6" s="109">
        <v>1693</v>
      </c>
      <c r="C6" s="109">
        <v>1482</v>
      </c>
      <c r="D6" s="109">
        <v>1695</v>
      </c>
      <c r="E6" s="109">
        <v>1355</v>
      </c>
      <c r="F6" s="109">
        <v>1164</v>
      </c>
      <c r="G6" s="109">
        <v>1107</v>
      </c>
      <c r="H6" s="109">
        <v>863</v>
      </c>
      <c r="I6" s="109">
        <v>1063</v>
      </c>
      <c r="J6" s="109">
        <v>1353</v>
      </c>
      <c r="K6" s="109">
        <v>1237</v>
      </c>
      <c r="L6" s="109">
        <v>1870</v>
      </c>
      <c r="M6" s="109">
        <v>1733</v>
      </c>
      <c r="N6" s="177">
        <f t="shared" si="0"/>
        <v>16615</v>
      </c>
    </row>
    <row r="7" spans="1:14">
      <c r="A7" s="83" t="s">
        <v>2</v>
      </c>
      <c r="B7" s="109">
        <v>9273</v>
      </c>
      <c r="C7" s="109">
        <v>11729</v>
      </c>
      <c r="D7" s="109">
        <v>8162</v>
      </c>
      <c r="E7" s="109">
        <v>5966</v>
      </c>
      <c r="F7" s="109">
        <v>3945</v>
      </c>
      <c r="G7" s="109">
        <v>45</v>
      </c>
      <c r="H7" s="109">
        <v>1017</v>
      </c>
      <c r="I7" s="109">
        <v>568</v>
      </c>
      <c r="J7" s="109">
        <v>73</v>
      </c>
      <c r="K7" s="109">
        <v>1682</v>
      </c>
      <c r="L7" s="109">
        <v>3360</v>
      </c>
      <c r="M7" s="109">
        <v>9521</v>
      </c>
      <c r="N7" s="177">
        <f t="shared" si="0"/>
        <v>55341</v>
      </c>
    </row>
    <row r="8" spans="1:14">
      <c r="A8" s="83" t="s">
        <v>69</v>
      </c>
      <c r="B8" s="109">
        <v>9954</v>
      </c>
      <c r="C8" s="109">
        <v>11573</v>
      </c>
      <c r="D8" s="109">
        <v>7947</v>
      </c>
      <c r="E8" s="109">
        <v>6206</v>
      </c>
      <c r="F8" s="109">
        <v>5460</v>
      </c>
      <c r="G8" s="109">
        <v>986</v>
      </c>
      <c r="H8" s="109">
        <v>2159</v>
      </c>
      <c r="I8" s="109">
        <v>1699</v>
      </c>
      <c r="J8" s="109">
        <v>48</v>
      </c>
      <c r="K8" s="109">
        <v>2301</v>
      </c>
      <c r="L8" s="109">
        <v>6554</v>
      </c>
      <c r="M8" s="109">
        <v>9341</v>
      </c>
      <c r="N8" s="177">
        <f t="shared" si="0"/>
        <v>64228</v>
      </c>
    </row>
    <row r="9" spans="1:14">
      <c r="A9" s="83" t="s">
        <v>70</v>
      </c>
      <c r="B9" s="109">
        <v>5544</v>
      </c>
      <c r="C9" s="109">
        <v>2063</v>
      </c>
      <c r="D9" s="109">
        <v>3263</v>
      </c>
      <c r="E9" s="109">
        <v>2619</v>
      </c>
      <c r="F9" s="109">
        <v>840</v>
      </c>
      <c r="G9" s="109">
        <v>1875</v>
      </c>
      <c r="H9" s="109">
        <v>1359</v>
      </c>
      <c r="I9" s="109">
        <v>733</v>
      </c>
      <c r="J9" s="109">
        <v>241</v>
      </c>
      <c r="K9" s="109">
        <v>462</v>
      </c>
      <c r="L9" s="109">
        <v>1955</v>
      </c>
      <c r="M9" s="109">
        <v>1331</v>
      </c>
      <c r="N9" s="177">
        <f t="shared" si="0"/>
        <v>22285</v>
      </c>
    </row>
    <row r="10" spans="1:14">
      <c r="A10" s="83" t="s">
        <v>71</v>
      </c>
      <c r="B10" s="109">
        <v>493</v>
      </c>
      <c r="C10" s="109">
        <v>493</v>
      </c>
      <c r="D10" s="109">
        <v>447</v>
      </c>
      <c r="E10" s="109">
        <v>734</v>
      </c>
      <c r="F10" s="109">
        <v>1337</v>
      </c>
      <c r="G10" s="109">
        <v>810</v>
      </c>
      <c r="H10" s="109">
        <v>293</v>
      </c>
      <c r="I10" s="109">
        <v>158</v>
      </c>
      <c r="J10" s="109">
        <v>1111</v>
      </c>
      <c r="K10" s="109">
        <v>603</v>
      </c>
      <c r="L10" s="109">
        <v>1872</v>
      </c>
      <c r="M10" s="109">
        <v>1363</v>
      </c>
      <c r="N10" s="177">
        <f t="shared" si="0"/>
        <v>9714</v>
      </c>
    </row>
    <row r="11" spans="1:14">
      <c r="A11" s="83" t="s">
        <v>72</v>
      </c>
      <c r="B11" s="109">
        <v>1950</v>
      </c>
      <c r="C11" s="109">
        <v>3267</v>
      </c>
      <c r="D11" s="109">
        <v>2767</v>
      </c>
      <c r="E11" s="109">
        <v>1012</v>
      </c>
      <c r="F11" s="109">
        <v>2527</v>
      </c>
      <c r="G11" s="109">
        <v>543</v>
      </c>
      <c r="H11" s="109">
        <v>2210</v>
      </c>
      <c r="I11" s="109">
        <v>1484</v>
      </c>
      <c r="J11" s="109">
        <v>1549</v>
      </c>
      <c r="K11" s="109">
        <v>1583</v>
      </c>
      <c r="L11" s="109">
        <v>3801</v>
      </c>
      <c r="M11" s="109">
        <v>2346</v>
      </c>
      <c r="N11" s="177">
        <f t="shared" si="0"/>
        <v>25039</v>
      </c>
    </row>
    <row r="12" spans="1:14">
      <c r="A12" s="83" t="s">
        <v>73</v>
      </c>
      <c r="B12" s="109">
        <v>4070</v>
      </c>
      <c r="C12" s="109">
        <v>4805</v>
      </c>
      <c r="D12" s="109">
        <v>4240</v>
      </c>
      <c r="E12" s="109">
        <v>2901</v>
      </c>
      <c r="F12" s="109">
        <v>2549</v>
      </c>
      <c r="G12" s="109">
        <v>314</v>
      </c>
      <c r="H12" s="109">
        <v>242</v>
      </c>
      <c r="I12" s="109">
        <v>300</v>
      </c>
      <c r="J12" s="109">
        <v>226</v>
      </c>
      <c r="K12" s="109">
        <v>812</v>
      </c>
      <c r="L12" s="109">
        <v>2015</v>
      </c>
      <c r="M12" s="109">
        <v>4182</v>
      </c>
      <c r="N12" s="177">
        <f t="shared" si="0"/>
        <v>26656</v>
      </c>
    </row>
    <row r="13" spans="1:14">
      <c r="A13" s="83" t="s">
        <v>74</v>
      </c>
      <c r="B13" s="109">
        <v>18348</v>
      </c>
      <c r="C13" s="109">
        <v>21519</v>
      </c>
      <c r="D13" s="109">
        <v>19006</v>
      </c>
      <c r="E13" s="109">
        <v>12492</v>
      </c>
      <c r="F13" s="109">
        <v>3909</v>
      </c>
      <c r="G13" s="109">
        <v>2142</v>
      </c>
      <c r="H13" s="109">
        <v>90908</v>
      </c>
      <c r="I13" s="109">
        <v>2142</v>
      </c>
      <c r="J13" s="109">
        <v>22966</v>
      </c>
      <c r="K13" s="109">
        <v>10316</v>
      </c>
      <c r="L13" s="109">
        <v>17025</v>
      </c>
      <c r="M13" s="109">
        <v>23178</v>
      </c>
      <c r="N13" s="177">
        <f t="shared" si="0"/>
        <v>243951</v>
      </c>
    </row>
    <row r="14" spans="1:14">
      <c r="A14" s="83" t="s">
        <v>75</v>
      </c>
      <c r="B14" s="109">
        <v>9739</v>
      </c>
      <c r="C14" s="109">
        <v>10997</v>
      </c>
      <c r="D14" s="109">
        <v>9242</v>
      </c>
      <c r="E14" s="109">
        <v>6153</v>
      </c>
      <c r="F14" s="109">
        <v>3926</v>
      </c>
      <c r="G14" s="109">
        <v>271</v>
      </c>
      <c r="H14" s="109">
        <v>921</v>
      </c>
      <c r="I14" s="109">
        <v>644</v>
      </c>
      <c r="J14" s="109">
        <v>545</v>
      </c>
      <c r="K14" s="109">
        <v>1894</v>
      </c>
      <c r="L14" s="109">
        <v>5975</v>
      </c>
      <c r="M14" s="109">
        <v>9716</v>
      </c>
      <c r="N14" s="177">
        <f t="shared" si="0"/>
        <v>60023</v>
      </c>
    </row>
    <row r="15" spans="1:14">
      <c r="A15" s="83" t="s">
        <v>22</v>
      </c>
      <c r="B15" s="109">
        <v>800</v>
      </c>
      <c r="C15" s="109">
        <v>1226</v>
      </c>
      <c r="D15" s="109">
        <v>1048</v>
      </c>
      <c r="E15" s="109">
        <v>837</v>
      </c>
      <c r="F15" s="109">
        <v>317</v>
      </c>
      <c r="G15" s="109">
        <v>0</v>
      </c>
      <c r="H15" s="109">
        <v>194</v>
      </c>
      <c r="I15" s="109">
        <v>0</v>
      </c>
      <c r="J15" s="109">
        <v>0</v>
      </c>
      <c r="K15" s="109">
        <v>187</v>
      </c>
      <c r="L15" s="109">
        <v>590</v>
      </c>
      <c r="M15" s="109">
        <v>1078</v>
      </c>
      <c r="N15" s="177">
        <f t="shared" si="0"/>
        <v>6277</v>
      </c>
    </row>
    <row r="16" spans="1:14">
      <c r="A16" s="83" t="s">
        <v>76</v>
      </c>
      <c r="B16" s="109">
        <v>12246</v>
      </c>
      <c r="C16" s="109">
        <v>13037</v>
      </c>
      <c r="D16" s="109">
        <v>11053</v>
      </c>
      <c r="E16" s="109">
        <v>7566</v>
      </c>
      <c r="F16" s="109">
        <v>4180</v>
      </c>
      <c r="G16" s="109">
        <v>958</v>
      </c>
      <c r="H16" s="109">
        <v>1405</v>
      </c>
      <c r="I16" s="109">
        <v>1277</v>
      </c>
      <c r="J16" s="109">
        <v>283</v>
      </c>
      <c r="K16" s="109">
        <v>2592</v>
      </c>
      <c r="L16" s="109">
        <v>5729</v>
      </c>
      <c r="M16" s="109">
        <v>11460</v>
      </c>
      <c r="N16" s="177">
        <f t="shared" si="0"/>
        <v>71786</v>
      </c>
    </row>
    <row r="17" spans="1:14">
      <c r="A17" s="83" t="s">
        <v>77</v>
      </c>
      <c r="B17" s="109">
        <v>3878</v>
      </c>
      <c r="C17" s="109">
        <v>9321</v>
      </c>
      <c r="D17" s="109">
        <v>7970</v>
      </c>
      <c r="E17" s="109">
        <v>4988</v>
      </c>
      <c r="F17" s="109">
        <v>3926</v>
      </c>
      <c r="G17" s="109">
        <v>181</v>
      </c>
      <c r="H17" s="109">
        <v>294</v>
      </c>
      <c r="I17" s="109">
        <v>252</v>
      </c>
      <c r="J17" s="109">
        <v>240</v>
      </c>
      <c r="K17" s="109">
        <v>1506</v>
      </c>
      <c r="L17" s="109">
        <v>339</v>
      </c>
      <c r="M17" s="109">
        <v>8148</v>
      </c>
      <c r="N17" s="177">
        <f t="shared" si="0"/>
        <v>41043</v>
      </c>
    </row>
    <row r="18" spans="1:14">
      <c r="A18" s="83" t="s">
        <v>78</v>
      </c>
      <c r="B18" s="109">
        <v>1550</v>
      </c>
      <c r="C18" s="109">
        <v>2035</v>
      </c>
      <c r="D18" s="109">
        <v>1227</v>
      </c>
      <c r="E18" s="109">
        <v>1024</v>
      </c>
      <c r="F18" s="109">
        <v>288</v>
      </c>
      <c r="G18" s="109">
        <v>131</v>
      </c>
      <c r="H18" s="109">
        <v>191</v>
      </c>
      <c r="I18" s="109">
        <v>172</v>
      </c>
      <c r="J18" s="109">
        <v>89</v>
      </c>
      <c r="K18" s="109">
        <v>373</v>
      </c>
      <c r="L18" s="109">
        <v>640</v>
      </c>
      <c r="M18" s="109">
        <v>1573</v>
      </c>
      <c r="N18" s="177">
        <f t="shared" si="0"/>
        <v>9293</v>
      </c>
    </row>
    <row r="19" spans="1:14">
      <c r="A19" s="25" t="s">
        <v>79</v>
      </c>
      <c r="B19" s="217">
        <v>12923</v>
      </c>
      <c r="C19" s="217">
        <v>13617</v>
      </c>
      <c r="D19" s="217">
        <v>14688</v>
      </c>
      <c r="E19" s="217">
        <v>12395</v>
      </c>
      <c r="F19" s="217">
        <v>8447</v>
      </c>
      <c r="G19" s="217">
        <v>4602</v>
      </c>
      <c r="H19" s="217">
        <v>349</v>
      </c>
      <c r="I19" s="217">
        <v>393</v>
      </c>
      <c r="J19" s="217">
        <v>550</v>
      </c>
      <c r="K19" s="217">
        <v>2622</v>
      </c>
      <c r="L19" s="109">
        <v>7800</v>
      </c>
      <c r="M19" s="217">
        <v>10699</v>
      </c>
      <c r="N19" s="177">
        <f t="shared" si="0"/>
        <v>89085</v>
      </c>
    </row>
    <row r="20" spans="1:14">
      <c r="A20" s="25" t="s">
        <v>80</v>
      </c>
      <c r="B20" s="217">
        <v>1923</v>
      </c>
      <c r="C20" s="217">
        <v>2813</v>
      </c>
      <c r="D20" s="217">
        <v>2332</v>
      </c>
      <c r="E20" s="217">
        <v>1541</v>
      </c>
      <c r="F20" s="217">
        <v>1232</v>
      </c>
      <c r="G20" s="217">
        <v>0</v>
      </c>
      <c r="H20" s="217">
        <v>78</v>
      </c>
      <c r="I20" s="217">
        <v>0</v>
      </c>
      <c r="J20" s="217">
        <v>80</v>
      </c>
      <c r="K20" s="217">
        <v>428</v>
      </c>
      <c r="L20" s="217">
        <v>213</v>
      </c>
      <c r="M20" s="217">
        <v>2467</v>
      </c>
      <c r="N20" s="177">
        <f t="shared" si="0"/>
        <v>13107</v>
      </c>
    </row>
    <row r="21" spans="1:14">
      <c r="A21" s="25" t="s">
        <v>81</v>
      </c>
      <c r="B21" s="217">
        <v>33783</v>
      </c>
      <c r="C21" s="217">
        <v>28328</v>
      </c>
      <c r="D21" s="217">
        <v>38243</v>
      </c>
      <c r="E21" s="217">
        <v>27637</v>
      </c>
      <c r="F21" s="217">
        <v>12119</v>
      </c>
      <c r="G21" s="217">
        <v>7382</v>
      </c>
      <c r="H21" s="217">
        <v>3478</v>
      </c>
      <c r="I21" s="217">
        <v>921</v>
      </c>
      <c r="J21" s="217">
        <v>1819</v>
      </c>
      <c r="K21" s="217">
        <v>7056</v>
      </c>
      <c r="L21" s="217">
        <v>15977</v>
      </c>
      <c r="M21" s="217">
        <v>26645</v>
      </c>
      <c r="N21" s="177">
        <f t="shared" si="0"/>
        <v>203388</v>
      </c>
    </row>
    <row r="22" spans="1:14">
      <c r="A22" s="25" t="s">
        <v>23</v>
      </c>
      <c r="B22" s="217">
        <v>54919</v>
      </c>
      <c r="C22" s="217">
        <v>44033</v>
      </c>
      <c r="D22" s="217">
        <v>57534</v>
      </c>
      <c r="E22" s="217">
        <v>39671</v>
      </c>
      <c r="F22" s="217">
        <v>19583</v>
      </c>
      <c r="G22" s="217">
        <v>12544</v>
      </c>
      <c r="H22" s="217">
        <v>8419</v>
      </c>
      <c r="I22" s="217">
        <v>6569</v>
      </c>
      <c r="J22" s="217">
        <v>5912</v>
      </c>
      <c r="K22" s="217">
        <v>15170</v>
      </c>
      <c r="L22" s="217">
        <v>23065</v>
      </c>
      <c r="M22" s="217">
        <v>36203</v>
      </c>
      <c r="N22" s="177">
        <f t="shared" si="0"/>
        <v>323622</v>
      </c>
    </row>
    <row r="23" spans="1:14" ht="15.75" thickBot="1">
      <c r="A23" s="25" t="s">
        <v>24</v>
      </c>
      <c r="B23" s="156">
        <v>23955</v>
      </c>
      <c r="C23" s="156">
        <v>22242</v>
      </c>
      <c r="D23" s="156">
        <v>18023</v>
      </c>
      <c r="E23" s="156">
        <v>13198</v>
      </c>
      <c r="F23" s="156">
        <v>13905</v>
      </c>
      <c r="G23" s="156">
        <v>3120</v>
      </c>
      <c r="H23" s="156">
        <v>9406</v>
      </c>
      <c r="I23" s="223">
        <v>6772</v>
      </c>
      <c r="J23" s="156">
        <v>407</v>
      </c>
      <c r="K23" s="156">
        <v>6274</v>
      </c>
      <c r="L23" s="156">
        <v>14397</v>
      </c>
      <c r="M23" s="156">
        <v>20091</v>
      </c>
      <c r="N23" s="180">
        <f t="shared" si="0"/>
        <v>151790</v>
      </c>
    </row>
    <row r="24" spans="1:14" ht="16.5" thickTop="1" thickBot="1">
      <c r="A24" s="84" t="s">
        <v>45</v>
      </c>
      <c r="B24" s="218">
        <f>SUM(B4:B23)</f>
        <v>394061</v>
      </c>
      <c r="C24" s="218">
        <f t="shared" ref="C24:M24" si="1">SUM(C4:C23)</f>
        <v>389030</v>
      </c>
      <c r="D24" s="218">
        <f t="shared" si="1"/>
        <v>379307</v>
      </c>
      <c r="E24" s="218">
        <f t="shared" si="1"/>
        <v>351866</v>
      </c>
      <c r="F24" s="218">
        <f t="shared" si="1"/>
        <v>167179</v>
      </c>
      <c r="G24" s="218">
        <f t="shared" si="1"/>
        <v>82966</v>
      </c>
      <c r="H24" s="218">
        <f t="shared" si="1"/>
        <v>131842</v>
      </c>
      <c r="I24" s="218">
        <f>SUM(I4:I23)</f>
        <v>29473</v>
      </c>
      <c r="J24" s="218">
        <f t="shared" si="1"/>
        <v>43403</v>
      </c>
      <c r="K24" s="218">
        <f t="shared" si="1"/>
        <v>81010</v>
      </c>
      <c r="L24" s="218">
        <f t="shared" si="1"/>
        <v>202607</v>
      </c>
      <c r="M24" s="218">
        <f t="shared" si="1"/>
        <v>325107</v>
      </c>
      <c r="N24" s="219">
        <f t="shared" si="0"/>
        <v>2577851</v>
      </c>
    </row>
    <row r="25" spans="1:14">
      <c r="A25" s="6"/>
      <c r="B25" s="182"/>
      <c r="C25" s="182"/>
      <c r="D25" s="182"/>
      <c r="E25" s="182"/>
      <c r="F25" s="182"/>
      <c r="G25" s="182"/>
      <c r="H25" s="182"/>
      <c r="I25" s="182"/>
      <c r="J25" s="182"/>
      <c r="K25" s="182"/>
      <c r="L25" s="182"/>
      <c r="M25" s="182"/>
      <c r="N25" s="183"/>
    </row>
    <row r="26" spans="1:14" ht="15.75" thickBot="1">
      <c r="A26" s="6" t="s">
        <v>8</v>
      </c>
      <c r="B26" s="182"/>
      <c r="C26" s="182"/>
      <c r="D26" s="182"/>
      <c r="E26" s="182"/>
      <c r="F26" s="182"/>
      <c r="G26" s="182"/>
      <c r="H26" s="182"/>
      <c r="I26" s="182"/>
      <c r="J26" s="182"/>
      <c r="K26" s="182"/>
      <c r="L26" s="182"/>
      <c r="M26" s="182"/>
      <c r="N26" s="183"/>
    </row>
    <row r="27" spans="1:14">
      <c r="A27" s="5" t="s">
        <v>85</v>
      </c>
      <c r="B27" s="222">
        <v>1903</v>
      </c>
      <c r="C27" s="222">
        <v>2084</v>
      </c>
      <c r="D27" s="222">
        <v>1969</v>
      </c>
      <c r="E27" s="222">
        <v>870</v>
      </c>
      <c r="F27" s="222">
        <v>537</v>
      </c>
      <c r="G27" s="222">
        <v>0</v>
      </c>
      <c r="H27" s="222">
        <v>0</v>
      </c>
      <c r="I27" s="222">
        <v>130</v>
      </c>
      <c r="J27" s="222">
        <v>1</v>
      </c>
      <c r="K27" s="222">
        <v>511</v>
      </c>
      <c r="L27" s="222">
        <v>1291</v>
      </c>
      <c r="M27" s="222">
        <v>2042</v>
      </c>
      <c r="N27" s="176">
        <f>SUM(B27:M27)</f>
        <v>11338</v>
      </c>
    </row>
    <row r="28" spans="1:14">
      <c r="A28" s="3" t="s">
        <v>86</v>
      </c>
      <c r="B28" s="109">
        <v>490</v>
      </c>
      <c r="C28" s="109">
        <v>454</v>
      </c>
      <c r="D28" s="109">
        <v>988</v>
      </c>
      <c r="E28" s="107">
        <v>684</v>
      </c>
      <c r="F28" s="109">
        <v>223</v>
      </c>
      <c r="G28" s="109">
        <v>453</v>
      </c>
      <c r="H28" s="109">
        <v>280</v>
      </c>
      <c r="I28" s="109">
        <v>138</v>
      </c>
      <c r="J28" s="109">
        <v>82</v>
      </c>
      <c r="K28" s="109">
        <v>105</v>
      </c>
      <c r="L28" s="217">
        <v>112</v>
      </c>
      <c r="M28" s="217">
        <v>112</v>
      </c>
      <c r="N28" s="177">
        <f t="shared" ref="N28:N33" si="2">SUM(B28:M28)</f>
        <v>4121</v>
      </c>
    </row>
    <row r="29" spans="1:14">
      <c r="A29" s="3" t="s">
        <v>87</v>
      </c>
      <c r="B29" s="109">
        <v>4966</v>
      </c>
      <c r="C29" s="109">
        <v>5166</v>
      </c>
      <c r="D29" s="109">
        <v>6102</v>
      </c>
      <c r="E29" s="109">
        <v>2439</v>
      </c>
      <c r="F29" s="109">
        <v>2029</v>
      </c>
      <c r="G29" s="109">
        <v>34</v>
      </c>
      <c r="H29" s="109">
        <v>130</v>
      </c>
      <c r="I29" s="109">
        <v>76</v>
      </c>
      <c r="J29" s="109">
        <v>0</v>
      </c>
      <c r="K29" s="109">
        <v>1413</v>
      </c>
      <c r="L29" s="109">
        <v>1484</v>
      </c>
      <c r="M29" s="109">
        <v>5647</v>
      </c>
      <c r="N29" s="177">
        <f t="shared" si="2"/>
        <v>29486</v>
      </c>
    </row>
    <row r="30" spans="1:14">
      <c r="A30" s="3" t="s">
        <v>88</v>
      </c>
      <c r="B30" s="109">
        <v>1860</v>
      </c>
      <c r="C30" s="109">
        <v>2086</v>
      </c>
      <c r="D30" s="109">
        <v>1724</v>
      </c>
      <c r="E30" s="109">
        <v>820</v>
      </c>
      <c r="F30" s="109">
        <v>300</v>
      </c>
      <c r="G30" s="109">
        <v>0</v>
      </c>
      <c r="H30" s="109">
        <v>81</v>
      </c>
      <c r="I30" s="109">
        <v>0</v>
      </c>
      <c r="J30" s="109">
        <v>0</v>
      </c>
      <c r="K30" s="109">
        <v>479</v>
      </c>
      <c r="L30" s="109">
        <v>534</v>
      </c>
      <c r="M30" s="109">
        <v>1918</v>
      </c>
      <c r="N30" s="177">
        <f t="shared" si="2"/>
        <v>9802</v>
      </c>
    </row>
    <row r="31" spans="1:14">
      <c r="A31" s="3" t="s">
        <v>89</v>
      </c>
      <c r="B31" s="109">
        <v>848</v>
      </c>
      <c r="C31" s="109">
        <v>980</v>
      </c>
      <c r="D31" s="109">
        <v>820</v>
      </c>
      <c r="E31" s="109">
        <v>395</v>
      </c>
      <c r="F31" s="109">
        <v>318</v>
      </c>
      <c r="G31" s="109">
        <v>18</v>
      </c>
      <c r="H31" s="109">
        <v>58</v>
      </c>
      <c r="I31" s="109">
        <v>36</v>
      </c>
      <c r="J31" s="109">
        <v>18</v>
      </c>
      <c r="K31" s="109">
        <v>257</v>
      </c>
      <c r="L31" s="109">
        <v>422</v>
      </c>
      <c r="M31" s="109">
        <v>923</v>
      </c>
      <c r="N31" s="177">
        <f t="shared" si="2"/>
        <v>5093</v>
      </c>
    </row>
    <row r="32" spans="1:14">
      <c r="A32" s="3" t="s">
        <v>90</v>
      </c>
      <c r="B32" s="109">
        <v>698</v>
      </c>
      <c r="C32" s="109">
        <v>614</v>
      </c>
      <c r="D32" s="109">
        <v>916</v>
      </c>
      <c r="E32" s="109">
        <v>725</v>
      </c>
      <c r="F32" s="109">
        <v>191</v>
      </c>
      <c r="G32" s="109">
        <v>456</v>
      </c>
      <c r="H32" s="109">
        <v>164</v>
      </c>
      <c r="I32" s="109">
        <v>81</v>
      </c>
      <c r="J32" s="109">
        <v>78</v>
      </c>
      <c r="K32" s="109">
        <v>75</v>
      </c>
      <c r="L32" s="109">
        <v>444</v>
      </c>
      <c r="M32" s="109">
        <v>270</v>
      </c>
      <c r="N32" s="177">
        <f t="shared" si="2"/>
        <v>4712</v>
      </c>
    </row>
    <row r="33" spans="1:14" ht="15.75" thickBot="1">
      <c r="A33" s="3" t="s">
        <v>93</v>
      </c>
      <c r="B33" s="223">
        <v>4456</v>
      </c>
      <c r="C33" s="223">
        <v>3985</v>
      </c>
      <c r="D33" s="223">
        <v>4134</v>
      </c>
      <c r="E33" s="223">
        <v>1761</v>
      </c>
      <c r="F33" s="223">
        <v>1272</v>
      </c>
      <c r="G33" s="223">
        <v>30</v>
      </c>
      <c r="H33" s="223">
        <v>213</v>
      </c>
      <c r="I33" s="223">
        <v>120</v>
      </c>
      <c r="J33" s="223">
        <v>128</v>
      </c>
      <c r="K33" s="223">
        <v>1136</v>
      </c>
      <c r="L33" s="223">
        <v>4363</v>
      </c>
      <c r="M33" s="223">
        <v>4187</v>
      </c>
      <c r="N33" s="180">
        <f t="shared" si="2"/>
        <v>25785</v>
      </c>
    </row>
    <row r="34" spans="1:14" ht="16.5" thickTop="1" thickBot="1">
      <c r="A34" s="84" t="s">
        <v>46</v>
      </c>
      <c r="B34" s="218">
        <f t="shared" ref="B34:N34" si="3">SUM(B27:B33)</f>
        <v>15221</v>
      </c>
      <c r="C34" s="218">
        <f t="shared" si="3"/>
        <v>15369</v>
      </c>
      <c r="D34" s="218">
        <f t="shared" si="3"/>
        <v>16653</v>
      </c>
      <c r="E34" s="218">
        <f t="shared" si="3"/>
        <v>7694</v>
      </c>
      <c r="F34" s="218">
        <f t="shared" si="3"/>
        <v>4870</v>
      </c>
      <c r="G34" s="218">
        <f t="shared" si="3"/>
        <v>991</v>
      </c>
      <c r="H34" s="218">
        <f t="shared" si="3"/>
        <v>926</v>
      </c>
      <c r="I34" s="218">
        <f t="shared" si="3"/>
        <v>581</v>
      </c>
      <c r="J34" s="218">
        <f t="shared" si="3"/>
        <v>307</v>
      </c>
      <c r="K34" s="218">
        <f t="shared" si="3"/>
        <v>3976</v>
      </c>
      <c r="L34" s="218">
        <f t="shared" si="3"/>
        <v>8650</v>
      </c>
      <c r="M34" s="218">
        <f t="shared" si="3"/>
        <v>15099</v>
      </c>
      <c r="N34" s="219">
        <f t="shared" si="3"/>
        <v>90337</v>
      </c>
    </row>
    <row r="35" spans="1:14" ht="15.75" thickBot="1">
      <c r="A35" s="6"/>
      <c r="B35" s="182"/>
      <c r="C35" s="182"/>
      <c r="D35" s="182"/>
      <c r="E35" s="182"/>
      <c r="F35" s="182"/>
      <c r="G35" s="182"/>
      <c r="H35" s="182"/>
      <c r="I35" s="182"/>
      <c r="J35" s="182"/>
      <c r="K35" s="182"/>
      <c r="L35" s="182"/>
      <c r="M35" s="182"/>
      <c r="N35" s="182"/>
    </row>
    <row r="36" spans="1:14" ht="15.75" thickBot="1">
      <c r="A36" s="85" t="s">
        <v>61</v>
      </c>
      <c r="B36" s="224">
        <f t="shared" ref="B36:N36" si="4">B24+B34</f>
        <v>409282</v>
      </c>
      <c r="C36" s="224">
        <f t="shared" si="4"/>
        <v>404399</v>
      </c>
      <c r="D36" s="224">
        <f t="shared" si="4"/>
        <v>395960</v>
      </c>
      <c r="E36" s="224">
        <f t="shared" si="4"/>
        <v>359560</v>
      </c>
      <c r="F36" s="224">
        <f t="shared" si="4"/>
        <v>172049</v>
      </c>
      <c r="G36" s="224">
        <f t="shared" si="4"/>
        <v>83957</v>
      </c>
      <c r="H36" s="224">
        <f t="shared" si="4"/>
        <v>132768</v>
      </c>
      <c r="I36" s="224">
        <f t="shared" si="4"/>
        <v>30054</v>
      </c>
      <c r="J36" s="224">
        <f t="shared" si="4"/>
        <v>43710</v>
      </c>
      <c r="K36" s="224">
        <f t="shared" si="4"/>
        <v>84986</v>
      </c>
      <c r="L36" s="224">
        <f t="shared" si="4"/>
        <v>211257</v>
      </c>
      <c r="M36" s="224">
        <f t="shared" si="4"/>
        <v>340206</v>
      </c>
      <c r="N36" s="225">
        <f t="shared" si="4"/>
        <v>2668188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9"/>
  <sheetViews>
    <sheetView showGridLines="0" workbookViewId="0">
      <selection activeCell="L18" sqref="L18"/>
    </sheetView>
  </sheetViews>
  <sheetFormatPr defaultColWidth="8.85546875" defaultRowHeight="15"/>
  <cols>
    <col min="1" max="1" width="27.28515625" customWidth="1"/>
    <col min="2" max="13" width="9.28515625" bestFit="1" customWidth="1"/>
    <col min="14" max="14" width="10.140625" bestFit="1" customWidth="1"/>
  </cols>
  <sheetData>
    <row r="1" spans="1:14" ht="17.25" thickBot="1">
      <c r="A1" s="82" t="s">
        <v>0</v>
      </c>
      <c r="B1" s="90">
        <v>39814</v>
      </c>
      <c r="C1" s="90">
        <v>39845</v>
      </c>
      <c r="D1" s="90">
        <v>39873</v>
      </c>
      <c r="E1" s="90">
        <v>39904</v>
      </c>
      <c r="F1" s="90">
        <v>39934</v>
      </c>
      <c r="G1" s="90">
        <v>39965</v>
      </c>
      <c r="H1" s="90">
        <v>39995</v>
      </c>
      <c r="I1" s="90">
        <v>40026</v>
      </c>
      <c r="J1" s="90">
        <v>40057</v>
      </c>
      <c r="K1" s="90">
        <v>40087</v>
      </c>
      <c r="L1" s="90">
        <v>40118</v>
      </c>
      <c r="M1" s="90">
        <v>40148</v>
      </c>
      <c r="N1" s="91" t="s">
        <v>131</v>
      </c>
    </row>
    <row r="2" spans="1:14">
      <c r="A2" s="6"/>
      <c r="B2" s="30"/>
      <c r="C2" s="30"/>
      <c r="D2" s="30"/>
      <c r="E2" s="30"/>
      <c r="F2" s="30"/>
      <c r="G2" s="30"/>
      <c r="H2" s="30"/>
      <c r="I2" s="30"/>
      <c r="J2" s="30"/>
      <c r="K2" s="30"/>
      <c r="L2" s="30"/>
      <c r="M2" s="30"/>
      <c r="N2" s="4"/>
    </row>
    <row r="3" spans="1:14" ht="15.75" thickBot="1">
      <c r="A3" s="6" t="s">
        <v>63</v>
      </c>
      <c r="B3" s="30"/>
      <c r="C3" s="30"/>
      <c r="D3" s="30"/>
      <c r="E3" s="30"/>
      <c r="F3" s="30"/>
      <c r="G3" s="30"/>
      <c r="H3" s="30"/>
      <c r="I3" s="30"/>
      <c r="J3" s="30"/>
      <c r="K3" s="30"/>
      <c r="L3" s="30"/>
      <c r="M3" s="30"/>
      <c r="N3" s="4"/>
    </row>
    <row r="4" spans="1:14" ht="30">
      <c r="A4" s="100" t="s">
        <v>91</v>
      </c>
      <c r="B4" s="184">
        <v>164983</v>
      </c>
      <c r="C4" s="184">
        <v>175884</v>
      </c>
      <c r="D4" s="184">
        <v>129949</v>
      </c>
      <c r="E4" s="184">
        <v>99668</v>
      </c>
      <c r="F4" s="184">
        <v>62990</v>
      </c>
      <c r="G4" s="184">
        <v>25447</v>
      </c>
      <c r="H4" s="184">
        <v>15191</v>
      </c>
      <c r="I4" s="184">
        <v>8008</v>
      </c>
      <c r="J4" s="184">
        <v>6485</v>
      </c>
      <c r="K4" s="184">
        <v>23927</v>
      </c>
      <c r="L4" s="184">
        <v>88565</v>
      </c>
      <c r="M4" s="184">
        <v>86945</v>
      </c>
      <c r="N4" s="176">
        <f>SUM(B4:M4)</f>
        <v>888042</v>
      </c>
    </row>
    <row r="5" spans="1:14">
      <c r="A5" s="101" t="s">
        <v>21</v>
      </c>
      <c r="B5" s="178">
        <v>40271</v>
      </c>
      <c r="C5" s="178">
        <v>47574</v>
      </c>
      <c r="D5" s="178">
        <v>38231</v>
      </c>
      <c r="E5" s="178">
        <v>30815</v>
      </c>
      <c r="F5" s="178">
        <v>18570</v>
      </c>
      <c r="G5" s="178">
        <v>1414</v>
      </c>
      <c r="H5" s="178">
        <v>1210</v>
      </c>
      <c r="I5" s="178">
        <v>1172</v>
      </c>
      <c r="J5" s="178">
        <v>920</v>
      </c>
      <c r="K5" s="178">
        <v>1581</v>
      </c>
      <c r="L5" s="178">
        <v>26785</v>
      </c>
      <c r="M5" s="178">
        <v>25353</v>
      </c>
      <c r="N5" s="177">
        <f t="shared" ref="N5:N25" si="0">SUM(B5:M5)</f>
        <v>233896</v>
      </c>
    </row>
    <row r="6" spans="1:14">
      <c r="A6" s="83" t="s">
        <v>92</v>
      </c>
      <c r="B6" s="109">
        <v>1388</v>
      </c>
      <c r="C6" s="109">
        <v>1849</v>
      </c>
      <c r="D6" s="109">
        <v>1467</v>
      </c>
      <c r="E6" s="109">
        <v>1486</v>
      </c>
      <c r="F6" s="109">
        <v>1094</v>
      </c>
      <c r="G6" s="109">
        <v>1111</v>
      </c>
      <c r="H6" s="109">
        <v>321</v>
      </c>
      <c r="I6" s="109">
        <v>725</v>
      </c>
      <c r="J6" s="109">
        <v>1350</v>
      </c>
      <c r="K6" s="109">
        <v>1676</v>
      </c>
      <c r="L6" s="109">
        <v>1699</v>
      </c>
      <c r="M6" s="109">
        <v>1267</v>
      </c>
      <c r="N6" s="177">
        <f t="shared" si="0"/>
        <v>15433</v>
      </c>
    </row>
    <row r="7" spans="1:14">
      <c r="A7" s="83" t="s">
        <v>2</v>
      </c>
      <c r="B7" s="109">
        <v>11621</v>
      </c>
      <c r="C7" s="109">
        <v>10983</v>
      </c>
      <c r="D7" s="109">
        <v>8953</v>
      </c>
      <c r="E7" s="109">
        <v>5542</v>
      </c>
      <c r="F7" s="109">
        <v>2843</v>
      </c>
      <c r="G7" s="109">
        <v>34</v>
      </c>
      <c r="H7" s="109">
        <v>1376</v>
      </c>
      <c r="I7" s="109">
        <v>709</v>
      </c>
      <c r="J7" s="109">
        <v>596</v>
      </c>
      <c r="K7" s="109">
        <v>2678</v>
      </c>
      <c r="L7" s="109">
        <v>4504</v>
      </c>
      <c r="M7" s="109">
        <v>7470</v>
      </c>
      <c r="N7" s="177">
        <f t="shared" si="0"/>
        <v>57309</v>
      </c>
    </row>
    <row r="8" spans="1:14">
      <c r="A8" s="83" t="s">
        <v>69</v>
      </c>
      <c r="B8" s="109">
        <v>16109</v>
      </c>
      <c r="C8" s="109">
        <v>10672</v>
      </c>
      <c r="D8" s="109">
        <v>7684</v>
      </c>
      <c r="E8" s="109">
        <v>5500</v>
      </c>
      <c r="F8" s="109">
        <v>5305</v>
      </c>
      <c r="G8" s="109">
        <v>803</v>
      </c>
      <c r="H8" s="109">
        <v>252</v>
      </c>
      <c r="I8" s="109">
        <v>534</v>
      </c>
      <c r="J8" s="109">
        <v>802</v>
      </c>
      <c r="K8" s="109">
        <v>4639</v>
      </c>
      <c r="L8" s="109">
        <v>5514</v>
      </c>
      <c r="M8" s="109">
        <v>8905</v>
      </c>
      <c r="N8" s="177">
        <f t="shared" si="0"/>
        <v>66719</v>
      </c>
    </row>
    <row r="9" spans="1:14">
      <c r="A9" s="83" t="s">
        <v>70</v>
      </c>
      <c r="B9" s="109">
        <v>1414</v>
      </c>
      <c r="C9" s="109">
        <v>1248</v>
      </c>
      <c r="D9" s="109">
        <v>2697</v>
      </c>
      <c r="E9" s="109">
        <v>1712</v>
      </c>
      <c r="F9" s="109">
        <v>945</v>
      </c>
      <c r="G9" s="109">
        <v>1241</v>
      </c>
      <c r="H9" s="109">
        <v>980</v>
      </c>
      <c r="I9" s="109">
        <v>496</v>
      </c>
      <c r="J9" s="109">
        <v>731</v>
      </c>
      <c r="K9" s="109">
        <v>1369</v>
      </c>
      <c r="L9" s="109">
        <v>1077</v>
      </c>
      <c r="M9" s="109">
        <v>1599</v>
      </c>
      <c r="N9" s="177">
        <f t="shared" si="0"/>
        <v>15509</v>
      </c>
    </row>
    <row r="10" spans="1:14">
      <c r="A10" s="83" t="s">
        <v>71</v>
      </c>
      <c r="B10" s="109">
        <v>1646</v>
      </c>
      <c r="C10" s="109">
        <v>1574</v>
      </c>
      <c r="D10" s="109">
        <v>2057</v>
      </c>
      <c r="E10" s="109">
        <v>1872</v>
      </c>
      <c r="F10" s="109">
        <v>802</v>
      </c>
      <c r="G10" s="109">
        <v>1250</v>
      </c>
      <c r="H10" s="109">
        <v>1185</v>
      </c>
      <c r="I10" s="109">
        <v>601</v>
      </c>
      <c r="J10" s="109">
        <v>716</v>
      </c>
      <c r="K10" s="109">
        <v>1402</v>
      </c>
      <c r="L10" s="109">
        <v>1295</v>
      </c>
      <c r="M10" s="109">
        <v>1427</v>
      </c>
      <c r="N10" s="177">
        <f t="shared" si="0"/>
        <v>15827</v>
      </c>
    </row>
    <row r="11" spans="1:14">
      <c r="A11" s="83" t="s">
        <v>72</v>
      </c>
      <c r="B11" s="109">
        <v>3216</v>
      </c>
      <c r="C11" s="109">
        <v>2518</v>
      </c>
      <c r="D11" s="109">
        <v>3403</v>
      </c>
      <c r="E11" s="109">
        <v>2351</v>
      </c>
      <c r="F11" s="109">
        <v>1764</v>
      </c>
      <c r="G11" s="109">
        <v>1393</v>
      </c>
      <c r="H11" s="109">
        <v>882</v>
      </c>
      <c r="I11" s="109">
        <v>1147</v>
      </c>
      <c r="J11" s="109">
        <v>1826</v>
      </c>
      <c r="K11" s="109">
        <v>2895</v>
      </c>
      <c r="L11" s="109">
        <v>2076</v>
      </c>
      <c r="M11" s="109">
        <v>2220</v>
      </c>
      <c r="N11" s="177">
        <f t="shared" si="0"/>
        <v>25691</v>
      </c>
    </row>
    <row r="12" spans="1:14">
      <c r="A12" s="83" t="s">
        <v>73</v>
      </c>
      <c r="B12" s="109">
        <v>4111</v>
      </c>
      <c r="C12" s="109">
        <v>4812</v>
      </c>
      <c r="D12" s="109">
        <v>3444</v>
      </c>
      <c r="E12" s="109">
        <v>2340</v>
      </c>
      <c r="F12" s="109">
        <v>2070</v>
      </c>
      <c r="G12" s="109">
        <v>102</v>
      </c>
      <c r="H12" s="109">
        <v>39</v>
      </c>
      <c r="I12" s="109">
        <v>71</v>
      </c>
      <c r="J12" s="109">
        <v>46</v>
      </c>
      <c r="K12" s="109">
        <v>1472</v>
      </c>
      <c r="L12" s="109">
        <v>1756</v>
      </c>
      <c r="M12" s="109">
        <v>2875</v>
      </c>
      <c r="N12" s="177">
        <f t="shared" si="0"/>
        <v>23138</v>
      </c>
    </row>
    <row r="13" spans="1:14">
      <c r="A13" s="83" t="s">
        <v>74</v>
      </c>
      <c r="B13" s="109">
        <v>6000</v>
      </c>
      <c r="C13" s="109">
        <v>28254</v>
      </c>
      <c r="D13" s="109">
        <v>22194</v>
      </c>
      <c r="E13" s="109">
        <v>17585</v>
      </c>
      <c r="F13" s="109">
        <v>9454</v>
      </c>
      <c r="G13" s="109">
        <v>20046</v>
      </c>
      <c r="H13" s="109">
        <v>7749</v>
      </c>
      <c r="I13" s="109">
        <v>447</v>
      </c>
      <c r="J13" s="109">
        <v>2991</v>
      </c>
      <c r="K13" s="109">
        <v>2996</v>
      </c>
      <c r="L13" s="109">
        <v>7239</v>
      </c>
      <c r="M13" s="109">
        <v>8331</v>
      </c>
      <c r="N13" s="177">
        <f t="shared" si="0"/>
        <v>133286</v>
      </c>
    </row>
    <row r="14" spans="1:14">
      <c r="A14" s="83" t="s">
        <v>75</v>
      </c>
      <c r="B14" s="109">
        <v>9072</v>
      </c>
      <c r="C14" s="109">
        <v>11178</v>
      </c>
      <c r="D14" s="109">
        <v>7781</v>
      </c>
      <c r="E14" s="109">
        <v>5381</v>
      </c>
      <c r="F14" s="109">
        <v>3685</v>
      </c>
      <c r="G14" s="109">
        <v>246</v>
      </c>
      <c r="H14" s="109">
        <v>489</v>
      </c>
      <c r="I14" s="109">
        <v>367</v>
      </c>
      <c r="J14" s="109">
        <v>270</v>
      </c>
      <c r="K14" s="109">
        <v>4113</v>
      </c>
      <c r="L14" s="109">
        <v>4893</v>
      </c>
      <c r="M14" s="109">
        <v>6569</v>
      </c>
      <c r="N14" s="177">
        <f t="shared" si="0"/>
        <v>54044</v>
      </c>
    </row>
    <row r="15" spans="1:14">
      <c r="A15" s="83" t="s">
        <v>22</v>
      </c>
      <c r="B15" s="109">
        <v>1022</v>
      </c>
      <c r="C15" s="109">
        <v>1244</v>
      </c>
      <c r="D15" s="109">
        <v>932</v>
      </c>
      <c r="E15" s="109">
        <v>604</v>
      </c>
      <c r="F15" s="109">
        <v>134</v>
      </c>
      <c r="G15" s="109">
        <v>355</v>
      </c>
      <c r="H15" s="109">
        <v>0</v>
      </c>
      <c r="I15" s="109">
        <v>0</v>
      </c>
      <c r="J15" s="109">
        <v>189</v>
      </c>
      <c r="K15" s="109">
        <v>366</v>
      </c>
      <c r="L15" s="109">
        <v>252</v>
      </c>
      <c r="M15" s="109">
        <v>723</v>
      </c>
      <c r="N15" s="177">
        <f t="shared" si="0"/>
        <v>5821</v>
      </c>
    </row>
    <row r="16" spans="1:14">
      <c r="A16" s="83" t="s">
        <v>76</v>
      </c>
      <c r="B16" s="109">
        <v>12054</v>
      </c>
      <c r="C16" s="109">
        <v>12121</v>
      </c>
      <c r="D16" s="109">
        <v>9165</v>
      </c>
      <c r="E16" s="109">
        <v>6540</v>
      </c>
      <c r="F16" s="109">
        <v>3844</v>
      </c>
      <c r="G16" s="109">
        <v>712</v>
      </c>
      <c r="H16" s="109">
        <v>432</v>
      </c>
      <c r="I16" s="109">
        <v>579</v>
      </c>
      <c r="J16" s="109">
        <v>1013</v>
      </c>
      <c r="K16" s="109">
        <v>4367</v>
      </c>
      <c r="L16" s="109">
        <v>1395</v>
      </c>
      <c r="M16" s="109">
        <v>8252</v>
      </c>
      <c r="N16" s="177">
        <f t="shared" si="0"/>
        <v>60474</v>
      </c>
    </row>
    <row r="17" spans="1:14">
      <c r="A17" s="83" t="s">
        <v>77</v>
      </c>
      <c r="B17" s="109">
        <v>1843</v>
      </c>
      <c r="C17" s="109">
        <v>9389</v>
      </c>
      <c r="D17" s="109">
        <v>3943</v>
      </c>
      <c r="E17" s="109">
        <v>1147</v>
      </c>
      <c r="F17" s="109">
        <v>147</v>
      </c>
      <c r="G17" s="109">
        <v>107</v>
      </c>
      <c r="H17" s="109">
        <v>119</v>
      </c>
      <c r="I17" s="109">
        <v>113</v>
      </c>
      <c r="J17" s="109">
        <v>172</v>
      </c>
      <c r="K17" s="109">
        <v>180</v>
      </c>
      <c r="L17" s="109">
        <v>183</v>
      </c>
      <c r="M17" s="109">
        <v>186</v>
      </c>
      <c r="N17" s="177">
        <f t="shared" si="0"/>
        <v>17529</v>
      </c>
    </row>
    <row r="18" spans="1:14">
      <c r="A18" s="83" t="s">
        <v>78</v>
      </c>
      <c r="B18" s="109">
        <v>2401</v>
      </c>
      <c r="C18" s="109">
        <v>1800</v>
      </c>
      <c r="D18" s="109">
        <v>1644</v>
      </c>
      <c r="E18" s="109">
        <v>1015</v>
      </c>
      <c r="F18" s="109">
        <v>330</v>
      </c>
      <c r="G18" s="109">
        <v>119</v>
      </c>
      <c r="H18" s="109">
        <v>163</v>
      </c>
      <c r="I18" s="109">
        <v>143</v>
      </c>
      <c r="J18" s="109">
        <v>135</v>
      </c>
      <c r="K18" s="109">
        <v>538</v>
      </c>
      <c r="L18" s="109">
        <v>512</v>
      </c>
      <c r="M18" s="109">
        <v>1407</v>
      </c>
      <c r="N18" s="177">
        <f t="shared" si="0"/>
        <v>10207</v>
      </c>
    </row>
    <row r="19" spans="1:14">
      <c r="A19" s="25" t="s">
        <v>79</v>
      </c>
      <c r="B19" s="217">
        <v>12960</v>
      </c>
      <c r="C19" s="217">
        <v>15050</v>
      </c>
      <c r="D19" s="217">
        <v>11846</v>
      </c>
      <c r="E19" s="217">
        <v>11021</v>
      </c>
      <c r="F19" s="217">
        <v>7829</v>
      </c>
      <c r="G19" s="217">
        <v>554</v>
      </c>
      <c r="H19" s="217">
        <v>395</v>
      </c>
      <c r="I19" s="217">
        <v>369</v>
      </c>
      <c r="J19" s="217">
        <v>351</v>
      </c>
      <c r="K19" s="217">
        <v>2599</v>
      </c>
      <c r="L19" s="109">
        <v>8849</v>
      </c>
      <c r="M19" s="217">
        <v>9586</v>
      </c>
      <c r="N19" s="177">
        <f t="shared" si="0"/>
        <v>81409</v>
      </c>
    </row>
    <row r="20" spans="1:14">
      <c r="A20" s="25" t="s">
        <v>80</v>
      </c>
      <c r="B20" s="217">
        <v>2067</v>
      </c>
      <c r="C20" s="217">
        <v>2846</v>
      </c>
      <c r="D20" s="217">
        <v>1507</v>
      </c>
      <c r="E20" s="217">
        <v>1207</v>
      </c>
      <c r="F20" s="217">
        <v>1099</v>
      </c>
      <c r="G20" s="217">
        <v>0</v>
      </c>
      <c r="H20" s="217">
        <v>1654</v>
      </c>
      <c r="I20" s="217">
        <v>0</v>
      </c>
      <c r="J20" s="217">
        <v>80</v>
      </c>
      <c r="K20" s="107">
        <v>333</v>
      </c>
      <c r="L20" s="217">
        <v>860</v>
      </c>
      <c r="M20" s="217">
        <v>1568</v>
      </c>
      <c r="N20" s="177">
        <f t="shared" si="0"/>
        <v>13221</v>
      </c>
    </row>
    <row r="21" spans="1:14">
      <c r="A21" s="25" t="s">
        <v>81</v>
      </c>
      <c r="B21" s="217">
        <v>38719</v>
      </c>
      <c r="C21" s="217">
        <v>28328</v>
      </c>
      <c r="D21" s="217">
        <v>38243</v>
      </c>
      <c r="E21" s="217">
        <v>23985</v>
      </c>
      <c r="F21" s="217">
        <v>4850</v>
      </c>
      <c r="G21" s="217">
        <v>6144</v>
      </c>
      <c r="H21" s="107">
        <f>(G21+I21)/2</f>
        <v>3847</v>
      </c>
      <c r="I21" s="217">
        <v>1550</v>
      </c>
      <c r="J21" s="217">
        <v>867</v>
      </c>
      <c r="K21" s="217">
        <v>3185</v>
      </c>
      <c r="L21" s="217">
        <v>17892</v>
      </c>
      <c r="M21" s="217">
        <v>21934</v>
      </c>
      <c r="N21" s="177">
        <f t="shared" si="0"/>
        <v>189544</v>
      </c>
    </row>
    <row r="22" spans="1:14">
      <c r="A22" s="25" t="s">
        <v>23</v>
      </c>
      <c r="B22" s="217">
        <v>54276</v>
      </c>
      <c r="C22" s="217">
        <v>51311</v>
      </c>
      <c r="D22" s="217">
        <v>43897</v>
      </c>
      <c r="E22" s="217">
        <v>28923</v>
      </c>
      <c r="F22" s="217">
        <v>22954</v>
      </c>
      <c r="G22" s="217">
        <v>12844</v>
      </c>
      <c r="H22" s="217">
        <v>7436</v>
      </c>
      <c r="I22" s="217">
        <v>485</v>
      </c>
      <c r="J22" s="217">
        <v>4224</v>
      </c>
      <c r="K22" s="217">
        <v>10765</v>
      </c>
      <c r="L22" s="217">
        <v>22764</v>
      </c>
      <c r="M22" s="217">
        <v>29659</v>
      </c>
      <c r="N22" s="177">
        <f t="shared" si="0"/>
        <v>289538</v>
      </c>
    </row>
    <row r="23" spans="1:14">
      <c r="A23" s="25" t="s">
        <v>82</v>
      </c>
      <c r="B23" s="217" t="s">
        <v>42</v>
      </c>
      <c r="C23" s="217" t="s">
        <v>42</v>
      </c>
      <c r="D23" s="217" t="s">
        <v>42</v>
      </c>
      <c r="E23" s="217" t="s">
        <v>42</v>
      </c>
      <c r="F23" s="217" t="s">
        <v>42</v>
      </c>
      <c r="G23" s="217" t="s">
        <v>42</v>
      </c>
      <c r="H23" s="217" t="s">
        <v>42</v>
      </c>
      <c r="I23" s="217" t="s">
        <v>42</v>
      </c>
      <c r="J23" s="217" t="s">
        <v>42</v>
      </c>
      <c r="K23" s="217" t="s">
        <v>42</v>
      </c>
      <c r="L23" s="217" t="s">
        <v>42</v>
      </c>
      <c r="M23" s="217">
        <v>3141</v>
      </c>
      <c r="N23" s="177">
        <v>3141</v>
      </c>
    </row>
    <row r="24" spans="1:14" ht="15.75" thickBot="1">
      <c r="A24" s="104" t="s">
        <v>24</v>
      </c>
      <c r="B24" s="156">
        <v>17474</v>
      </c>
      <c r="C24" s="156">
        <v>22740</v>
      </c>
      <c r="D24" s="156">
        <v>16010</v>
      </c>
      <c r="E24" s="156">
        <v>12441</v>
      </c>
      <c r="F24" s="156">
        <v>15205</v>
      </c>
      <c r="G24" s="156">
        <v>3304</v>
      </c>
      <c r="H24" s="156">
        <v>3646</v>
      </c>
      <c r="I24" s="156">
        <v>3530</v>
      </c>
      <c r="J24" s="156">
        <v>4533</v>
      </c>
      <c r="K24" s="223">
        <v>10767</v>
      </c>
      <c r="L24" s="156">
        <v>11634</v>
      </c>
      <c r="M24" s="156">
        <v>7911</v>
      </c>
      <c r="N24" s="180">
        <f t="shared" si="0"/>
        <v>129195</v>
      </c>
    </row>
    <row r="25" spans="1:14" ht="16.5" thickTop="1" thickBot="1">
      <c r="A25" s="84" t="s">
        <v>45</v>
      </c>
      <c r="B25" s="218">
        <f>SUM(B4:B24)</f>
        <v>402647</v>
      </c>
      <c r="C25" s="218">
        <f t="shared" ref="C25:M25" si="1">SUM(C4:C24)</f>
        <v>441375</v>
      </c>
      <c r="D25" s="218">
        <f t="shared" si="1"/>
        <v>355047</v>
      </c>
      <c r="E25" s="218">
        <f t="shared" si="1"/>
        <v>261135</v>
      </c>
      <c r="F25" s="218">
        <f t="shared" si="1"/>
        <v>165914</v>
      </c>
      <c r="G25" s="218">
        <f t="shared" si="1"/>
        <v>77226</v>
      </c>
      <c r="H25" s="218">
        <f t="shared" si="1"/>
        <v>47366</v>
      </c>
      <c r="I25" s="218">
        <f t="shared" si="1"/>
        <v>21046</v>
      </c>
      <c r="J25" s="218">
        <f t="shared" si="1"/>
        <v>28297</v>
      </c>
      <c r="K25" s="218">
        <f>SUM(K4:K24)</f>
        <v>81848</v>
      </c>
      <c r="L25" s="218">
        <f t="shared" si="1"/>
        <v>209744</v>
      </c>
      <c r="M25" s="218">
        <f t="shared" si="1"/>
        <v>237328</v>
      </c>
      <c r="N25" s="219">
        <f t="shared" si="0"/>
        <v>2328973</v>
      </c>
    </row>
    <row r="26" spans="1:14">
      <c r="A26" s="6"/>
      <c r="B26" s="182"/>
      <c r="C26" s="182"/>
      <c r="D26" s="182"/>
      <c r="E26" s="182"/>
      <c r="F26" s="182"/>
      <c r="G26" s="182"/>
      <c r="H26" s="182"/>
      <c r="I26" s="182"/>
      <c r="J26" s="182"/>
      <c r="K26" s="182"/>
      <c r="L26" s="182"/>
      <c r="M26" s="182"/>
      <c r="N26" s="183"/>
    </row>
    <row r="27" spans="1:14" ht="15.75" thickBot="1">
      <c r="A27" s="6" t="s">
        <v>8</v>
      </c>
      <c r="B27" s="182"/>
      <c r="C27" s="182"/>
      <c r="D27" s="182"/>
      <c r="E27" s="182"/>
      <c r="F27" s="182"/>
      <c r="G27" s="182"/>
      <c r="H27" s="182"/>
      <c r="I27" s="182"/>
      <c r="J27" s="182"/>
      <c r="K27" s="182"/>
      <c r="L27" s="182"/>
      <c r="M27" s="182"/>
      <c r="N27" s="183"/>
    </row>
    <row r="28" spans="1:14">
      <c r="A28" s="5" t="s">
        <v>85</v>
      </c>
      <c r="B28" s="222">
        <v>2257</v>
      </c>
      <c r="C28" s="222">
        <v>2210</v>
      </c>
      <c r="D28" s="222">
        <v>1994</v>
      </c>
      <c r="E28" s="222">
        <v>1085</v>
      </c>
      <c r="F28" s="222">
        <v>959</v>
      </c>
      <c r="G28" s="222">
        <v>0</v>
      </c>
      <c r="H28" s="222">
        <v>480</v>
      </c>
      <c r="I28" s="222">
        <v>0</v>
      </c>
      <c r="J28" s="222">
        <v>239</v>
      </c>
      <c r="K28" s="222">
        <v>891</v>
      </c>
      <c r="L28" s="222">
        <v>773</v>
      </c>
      <c r="M28" s="222">
        <v>1678</v>
      </c>
      <c r="N28" s="176">
        <f>SUM(B28:M28)</f>
        <v>12566</v>
      </c>
    </row>
    <row r="29" spans="1:14">
      <c r="A29" s="3" t="s">
        <v>86</v>
      </c>
      <c r="B29" s="109">
        <v>169</v>
      </c>
      <c r="C29" s="109">
        <v>141</v>
      </c>
      <c r="D29" s="109">
        <v>125</v>
      </c>
      <c r="E29" s="107">
        <v>136</v>
      </c>
      <c r="F29" s="109">
        <v>87</v>
      </c>
      <c r="G29" s="109">
        <v>105</v>
      </c>
      <c r="H29" s="109">
        <v>74</v>
      </c>
      <c r="I29" s="109">
        <v>102</v>
      </c>
      <c r="J29" s="109">
        <v>46</v>
      </c>
      <c r="K29" s="109" t="s">
        <v>42</v>
      </c>
      <c r="L29" s="109" t="s">
        <v>42</v>
      </c>
      <c r="M29" s="109" t="s">
        <v>42</v>
      </c>
      <c r="N29" s="177">
        <f t="shared" ref="N29:N34" si="2">SUM(B29:M29)</f>
        <v>985</v>
      </c>
    </row>
    <row r="30" spans="1:14">
      <c r="A30" s="3" t="s">
        <v>87</v>
      </c>
      <c r="B30" s="109">
        <v>322</v>
      </c>
      <c r="C30" s="109">
        <v>6110</v>
      </c>
      <c r="D30" s="109">
        <v>5180</v>
      </c>
      <c r="E30" s="109">
        <v>1331</v>
      </c>
      <c r="F30" s="109">
        <v>664</v>
      </c>
      <c r="G30" s="109">
        <v>0</v>
      </c>
      <c r="H30" s="109">
        <v>328</v>
      </c>
      <c r="I30" s="109">
        <v>0</v>
      </c>
      <c r="J30" s="109">
        <v>0</v>
      </c>
      <c r="K30" s="109">
        <v>1432</v>
      </c>
      <c r="L30" s="109">
        <v>574</v>
      </c>
      <c r="M30" s="109">
        <v>2330</v>
      </c>
      <c r="N30" s="177">
        <f t="shared" si="2"/>
        <v>18271</v>
      </c>
    </row>
    <row r="31" spans="1:14">
      <c r="A31" s="3" t="s">
        <v>88</v>
      </c>
      <c r="B31" s="109">
        <v>1422</v>
      </c>
      <c r="C31" s="109">
        <v>2075</v>
      </c>
      <c r="D31" s="109">
        <v>1416</v>
      </c>
      <c r="E31" s="109">
        <v>900</v>
      </c>
      <c r="F31" s="109">
        <v>302</v>
      </c>
      <c r="G31" s="109">
        <v>0</v>
      </c>
      <c r="H31" s="109">
        <v>141</v>
      </c>
      <c r="I31" s="109">
        <v>0</v>
      </c>
      <c r="J31" s="109">
        <v>0</v>
      </c>
      <c r="K31" s="109">
        <v>501</v>
      </c>
      <c r="L31" s="109">
        <v>884</v>
      </c>
      <c r="M31" s="109">
        <v>1304</v>
      </c>
      <c r="N31" s="177">
        <f t="shared" si="2"/>
        <v>8945</v>
      </c>
    </row>
    <row r="32" spans="1:14">
      <c r="A32" s="3" t="s">
        <v>89</v>
      </c>
      <c r="B32" s="109">
        <v>973</v>
      </c>
      <c r="C32" s="109">
        <v>997</v>
      </c>
      <c r="D32" s="109">
        <v>676</v>
      </c>
      <c r="E32" s="109">
        <v>449</v>
      </c>
      <c r="F32" s="109">
        <v>127</v>
      </c>
      <c r="G32" s="109">
        <v>36</v>
      </c>
      <c r="H32" s="109">
        <v>0</v>
      </c>
      <c r="I32" s="109">
        <v>0</v>
      </c>
      <c r="J32" s="109">
        <v>0</v>
      </c>
      <c r="K32" s="109">
        <v>335</v>
      </c>
      <c r="L32" s="109">
        <v>332</v>
      </c>
      <c r="M32" s="109">
        <v>740</v>
      </c>
      <c r="N32" s="177">
        <f t="shared" si="2"/>
        <v>4665</v>
      </c>
    </row>
    <row r="33" spans="1:14">
      <c r="A33" s="3" t="s">
        <v>90</v>
      </c>
      <c r="B33" s="109">
        <v>1</v>
      </c>
      <c r="C33" s="109">
        <v>138</v>
      </c>
      <c r="D33" s="109">
        <v>214</v>
      </c>
      <c r="E33" s="109">
        <v>180</v>
      </c>
      <c r="F33" s="109">
        <v>127</v>
      </c>
      <c r="G33" s="109">
        <v>147</v>
      </c>
      <c r="H33" s="109">
        <v>220</v>
      </c>
      <c r="I33" s="109">
        <v>211</v>
      </c>
      <c r="J33" s="109">
        <v>234</v>
      </c>
      <c r="K33" s="109">
        <v>289</v>
      </c>
      <c r="L33" s="109">
        <v>415</v>
      </c>
      <c r="M33" s="109">
        <v>132</v>
      </c>
      <c r="N33" s="177">
        <f t="shared" si="2"/>
        <v>2308</v>
      </c>
    </row>
    <row r="34" spans="1:14" ht="15.75" thickBot="1">
      <c r="A34" s="3" t="s">
        <v>93</v>
      </c>
      <c r="B34" s="223">
        <v>5933</v>
      </c>
      <c r="C34" s="223">
        <v>4524</v>
      </c>
      <c r="D34" s="223">
        <v>3750</v>
      </c>
      <c r="E34" s="223">
        <v>2201</v>
      </c>
      <c r="F34" s="223">
        <v>665</v>
      </c>
      <c r="G34" s="223">
        <v>120</v>
      </c>
      <c r="H34" s="223">
        <v>96</v>
      </c>
      <c r="I34" s="223">
        <v>54</v>
      </c>
      <c r="J34" s="223" t="s">
        <v>42</v>
      </c>
      <c r="K34" s="223" t="s">
        <v>42</v>
      </c>
      <c r="L34" s="223" t="s">
        <v>42</v>
      </c>
      <c r="M34" s="223" t="s">
        <v>42</v>
      </c>
      <c r="N34" s="180">
        <f t="shared" si="2"/>
        <v>17343</v>
      </c>
    </row>
    <row r="35" spans="1:14" ht="16.5" thickTop="1" thickBot="1">
      <c r="A35" s="84" t="s">
        <v>46</v>
      </c>
      <c r="B35" s="218">
        <f t="shared" ref="B35:N35" si="3">SUM(B28:B34)</f>
        <v>11077</v>
      </c>
      <c r="C35" s="218">
        <f t="shared" si="3"/>
        <v>16195</v>
      </c>
      <c r="D35" s="218">
        <f t="shared" si="3"/>
        <v>13355</v>
      </c>
      <c r="E35" s="218">
        <f t="shared" si="3"/>
        <v>6282</v>
      </c>
      <c r="F35" s="218">
        <f t="shared" si="3"/>
        <v>2931</v>
      </c>
      <c r="G35" s="218">
        <f t="shared" si="3"/>
        <v>408</v>
      </c>
      <c r="H35" s="218">
        <f t="shared" si="3"/>
        <v>1339</v>
      </c>
      <c r="I35" s="218">
        <f t="shared" si="3"/>
        <v>367</v>
      </c>
      <c r="J35" s="218">
        <f t="shared" si="3"/>
        <v>519</v>
      </c>
      <c r="K35" s="218">
        <f t="shared" si="3"/>
        <v>3448</v>
      </c>
      <c r="L35" s="218">
        <f t="shared" si="3"/>
        <v>2978</v>
      </c>
      <c r="M35" s="218">
        <f t="shared" si="3"/>
        <v>6184</v>
      </c>
      <c r="N35" s="219">
        <f t="shared" si="3"/>
        <v>65083</v>
      </c>
    </row>
    <row r="36" spans="1:14" ht="15.75" thickBot="1">
      <c r="A36" s="6"/>
      <c r="B36" s="182"/>
      <c r="C36" s="182"/>
      <c r="D36" s="182"/>
      <c r="E36" s="182"/>
      <c r="F36" s="182"/>
      <c r="G36" s="182"/>
      <c r="H36" s="182"/>
      <c r="I36" s="182"/>
      <c r="J36" s="182"/>
      <c r="K36" s="182"/>
      <c r="L36" s="182"/>
      <c r="M36" s="182"/>
      <c r="N36" s="182"/>
    </row>
    <row r="37" spans="1:14" ht="15.75" thickBot="1">
      <c r="A37" s="85" t="s">
        <v>61</v>
      </c>
      <c r="B37" s="224">
        <f t="shared" ref="B37:N37" si="4">B25+B35</f>
        <v>413724</v>
      </c>
      <c r="C37" s="224">
        <f t="shared" si="4"/>
        <v>457570</v>
      </c>
      <c r="D37" s="224">
        <f t="shared" si="4"/>
        <v>368402</v>
      </c>
      <c r="E37" s="224">
        <f t="shared" si="4"/>
        <v>267417</v>
      </c>
      <c r="F37" s="224">
        <f t="shared" si="4"/>
        <v>168845</v>
      </c>
      <c r="G37" s="224">
        <f t="shared" si="4"/>
        <v>77634</v>
      </c>
      <c r="H37" s="224">
        <f t="shared" si="4"/>
        <v>48705</v>
      </c>
      <c r="I37" s="224">
        <f t="shared" si="4"/>
        <v>21413</v>
      </c>
      <c r="J37" s="224">
        <f t="shared" si="4"/>
        <v>28816</v>
      </c>
      <c r="K37" s="224">
        <f t="shared" si="4"/>
        <v>85296</v>
      </c>
      <c r="L37" s="224">
        <f t="shared" si="4"/>
        <v>212722</v>
      </c>
      <c r="M37" s="224">
        <f t="shared" si="4"/>
        <v>243512</v>
      </c>
      <c r="N37" s="225">
        <f t="shared" si="4"/>
        <v>2394056</v>
      </c>
    </row>
    <row r="39" spans="1:14">
      <c r="A39" t="s">
        <v>124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0"/>
  <sheetViews>
    <sheetView showGridLines="0" topLeftCell="A10" workbookViewId="0">
      <selection activeCell="C13" sqref="C13"/>
    </sheetView>
  </sheetViews>
  <sheetFormatPr defaultColWidth="8.85546875" defaultRowHeight="15"/>
  <cols>
    <col min="1" max="1" width="28.7109375" customWidth="1"/>
    <col min="2" max="13" width="9.42578125" bestFit="1" customWidth="1"/>
    <col min="14" max="14" width="10.7109375" bestFit="1" customWidth="1"/>
  </cols>
  <sheetData>
    <row r="1" spans="1:14" ht="17.25" thickBot="1">
      <c r="A1" s="82" t="s">
        <v>0</v>
      </c>
      <c r="B1" s="90">
        <v>39448</v>
      </c>
      <c r="C1" s="90">
        <v>39479</v>
      </c>
      <c r="D1" s="90">
        <v>39508</v>
      </c>
      <c r="E1" s="90">
        <v>39539</v>
      </c>
      <c r="F1" s="90">
        <v>39569</v>
      </c>
      <c r="G1" s="90">
        <v>39600</v>
      </c>
      <c r="H1" s="90">
        <v>39630</v>
      </c>
      <c r="I1" s="90">
        <v>39661</v>
      </c>
      <c r="J1" s="90">
        <v>39692</v>
      </c>
      <c r="K1" s="90">
        <v>39722</v>
      </c>
      <c r="L1" s="90">
        <v>39753</v>
      </c>
      <c r="M1" s="90">
        <v>39783</v>
      </c>
      <c r="N1" s="91" t="s">
        <v>131</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100" t="s">
        <v>91</v>
      </c>
      <c r="B4" s="184">
        <v>145362</v>
      </c>
      <c r="C4" s="184">
        <v>174311</v>
      </c>
      <c r="D4" s="184">
        <v>122431</v>
      </c>
      <c r="E4" s="184">
        <v>75816</v>
      </c>
      <c r="F4" s="184">
        <v>52862</v>
      </c>
      <c r="G4" s="184">
        <v>26809</v>
      </c>
      <c r="H4" s="184">
        <v>14377</v>
      </c>
      <c r="I4" s="184">
        <v>2576</v>
      </c>
      <c r="J4" s="184">
        <v>11220</v>
      </c>
      <c r="K4" s="184">
        <v>29064</v>
      </c>
      <c r="L4" s="184">
        <v>74145</v>
      </c>
      <c r="M4" s="184">
        <v>106400</v>
      </c>
      <c r="N4" s="176">
        <f>SUM(B4:M4)</f>
        <v>835373</v>
      </c>
    </row>
    <row r="5" spans="1:14">
      <c r="A5" s="101" t="s">
        <v>21</v>
      </c>
      <c r="B5" s="178">
        <v>37373</v>
      </c>
      <c r="C5" s="178">
        <v>51255</v>
      </c>
      <c r="D5" s="178">
        <v>37558</v>
      </c>
      <c r="E5" s="178">
        <v>27139</v>
      </c>
      <c r="F5" s="178">
        <v>17911</v>
      </c>
      <c r="G5" s="178">
        <v>1594</v>
      </c>
      <c r="H5" s="178">
        <v>752</v>
      </c>
      <c r="I5" s="178">
        <v>726</v>
      </c>
      <c r="J5" s="178">
        <v>772</v>
      </c>
      <c r="K5" s="178">
        <v>3940</v>
      </c>
      <c r="L5" s="178">
        <v>34160</v>
      </c>
      <c r="M5" s="178">
        <v>36805</v>
      </c>
      <c r="N5" s="177">
        <f t="shared" ref="N5:N25" si="0">SUM(B5:M5)</f>
        <v>249985</v>
      </c>
    </row>
    <row r="6" spans="1:14">
      <c r="A6" s="83" t="s">
        <v>92</v>
      </c>
      <c r="B6" s="109">
        <v>1533</v>
      </c>
      <c r="C6" s="109">
        <v>1788</v>
      </c>
      <c r="D6" s="109">
        <v>1678</v>
      </c>
      <c r="E6" s="109">
        <v>1281</v>
      </c>
      <c r="F6" s="109">
        <v>1805</v>
      </c>
      <c r="G6" s="109">
        <v>803</v>
      </c>
      <c r="H6" s="109">
        <v>1672</v>
      </c>
      <c r="I6" s="109">
        <v>751</v>
      </c>
      <c r="J6" s="109">
        <v>1290</v>
      </c>
      <c r="K6" s="109">
        <v>1327</v>
      </c>
      <c r="L6" s="109">
        <v>2188</v>
      </c>
      <c r="M6" s="109">
        <v>1457</v>
      </c>
      <c r="N6" s="177">
        <f t="shared" si="0"/>
        <v>17573</v>
      </c>
    </row>
    <row r="7" spans="1:14">
      <c r="A7" s="83" t="s">
        <v>2</v>
      </c>
      <c r="B7" s="109">
        <v>12039</v>
      </c>
      <c r="C7" s="109">
        <v>10871</v>
      </c>
      <c r="D7" s="109">
        <v>8848</v>
      </c>
      <c r="E7" s="109">
        <v>4271</v>
      </c>
      <c r="F7" s="109">
        <v>4932</v>
      </c>
      <c r="G7" s="109">
        <v>1066</v>
      </c>
      <c r="H7" s="109">
        <v>1277</v>
      </c>
      <c r="I7" s="109">
        <v>746</v>
      </c>
      <c r="J7" s="109">
        <v>962</v>
      </c>
      <c r="K7" s="109">
        <v>1989</v>
      </c>
      <c r="L7" s="109">
        <v>3219</v>
      </c>
      <c r="M7" s="109">
        <v>8981</v>
      </c>
      <c r="N7" s="177">
        <f t="shared" si="0"/>
        <v>59201</v>
      </c>
    </row>
    <row r="8" spans="1:14">
      <c r="A8" s="83" t="s">
        <v>69</v>
      </c>
      <c r="B8" s="109">
        <v>9844</v>
      </c>
      <c r="C8" s="109">
        <v>10013</v>
      </c>
      <c r="D8" s="109">
        <v>9625</v>
      </c>
      <c r="E8" s="109">
        <v>5528</v>
      </c>
      <c r="F8" s="109">
        <v>4619</v>
      </c>
      <c r="G8" s="109">
        <v>1013</v>
      </c>
      <c r="H8" s="109">
        <v>1525</v>
      </c>
      <c r="I8" s="109">
        <v>566</v>
      </c>
      <c r="J8" s="109">
        <v>827</v>
      </c>
      <c r="K8" s="109">
        <v>3241</v>
      </c>
      <c r="L8" s="109">
        <v>5469</v>
      </c>
      <c r="M8" s="109">
        <v>10739</v>
      </c>
      <c r="N8" s="177">
        <f t="shared" si="0"/>
        <v>63009</v>
      </c>
    </row>
    <row r="9" spans="1:14">
      <c r="A9" s="83" t="s">
        <v>70</v>
      </c>
      <c r="B9" s="109">
        <v>926</v>
      </c>
      <c r="C9" s="109">
        <v>1758</v>
      </c>
      <c r="D9" s="109">
        <v>1492</v>
      </c>
      <c r="E9" s="109">
        <v>1280</v>
      </c>
      <c r="F9" s="109">
        <v>1497</v>
      </c>
      <c r="G9" s="109">
        <v>512</v>
      </c>
      <c r="H9" s="109">
        <v>711</v>
      </c>
      <c r="I9" s="109">
        <v>510</v>
      </c>
      <c r="J9" s="109">
        <v>541</v>
      </c>
      <c r="K9" s="109">
        <v>1286</v>
      </c>
      <c r="L9" s="109">
        <v>1407</v>
      </c>
      <c r="M9" s="109">
        <v>1759</v>
      </c>
      <c r="N9" s="177">
        <f t="shared" si="0"/>
        <v>13679</v>
      </c>
    </row>
    <row r="10" spans="1:14">
      <c r="A10" s="83" t="s">
        <v>71</v>
      </c>
      <c r="B10" s="109">
        <v>1336</v>
      </c>
      <c r="C10" s="109">
        <v>1924</v>
      </c>
      <c r="D10" s="109">
        <v>1806</v>
      </c>
      <c r="E10" s="109">
        <v>1288</v>
      </c>
      <c r="F10" s="109">
        <v>1449</v>
      </c>
      <c r="G10" s="109">
        <v>619</v>
      </c>
      <c r="H10" s="109">
        <v>595</v>
      </c>
      <c r="I10" s="109">
        <v>618</v>
      </c>
      <c r="J10" s="109">
        <v>452</v>
      </c>
      <c r="K10" s="109">
        <v>1317</v>
      </c>
      <c r="L10" s="109">
        <v>1085</v>
      </c>
      <c r="M10" s="109">
        <v>1569</v>
      </c>
      <c r="N10" s="177">
        <f t="shared" si="0"/>
        <v>14058</v>
      </c>
    </row>
    <row r="11" spans="1:14">
      <c r="A11" s="83" t="s">
        <v>72</v>
      </c>
      <c r="B11" s="109">
        <v>2234</v>
      </c>
      <c r="C11" s="109">
        <v>3196</v>
      </c>
      <c r="D11" s="109">
        <v>3773</v>
      </c>
      <c r="E11" s="109">
        <v>2043</v>
      </c>
      <c r="F11" s="109">
        <v>1992</v>
      </c>
      <c r="G11" s="109">
        <v>1275</v>
      </c>
      <c r="H11" s="109">
        <v>1435</v>
      </c>
      <c r="I11" s="109">
        <v>1193</v>
      </c>
      <c r="J11" s="109">
        <v>1291</v>
      </c>
      <c r="K11" s="109">
        <v>4812</v>
      </c>
      <c r="L11" s="109">
        <v>1736</v>
      </c>
      <c r="M11" s="109">
        <v>2566</v>
      </c>
      <c r="N11" s="177">
        <f t="shared" si="0"/>
        <v>27546</v>
      </c>
    </row>
    <row r="12" spans="1:14">
      <c r="A12" s="83" t="s">
        <v>73</v>
      </c>
      <c r="B12" s="109">
        <v>3621</v>
      </c>
      <c r="C12" s="109">
        <v>4510</v>
      </c>
      <c r="D12" s="109">
        <v>3082</v>
      </c>
      <c r="E12" s="109">
        <v>2266</v>
      </c>
      <c r="F12" s="109">
        <v>794</v>
      </c>
      <c r="G12" s="109">
        <v>276</v>
      </c>
      <c r="H12" s="109">
        <v>108</v>
      </c>
      <c r="I12" s="109">
        <v>80</v>
      </c>
      <c r="J12" s="109">
        <v>86</v>
      </c>
      <c r="K12" s="109">
        <v>999</v>
      </c>
      <c r="L12" s="109">
        <v>1940</v>
      </c>
      <c r="M12" s="109">
        <v>3478</v>
      </c>
      <c r="N12" s="177">
        <f t="shared" si="0"/>
        <v>21240</v>
      </c>
    </row>
    <row r="13" spans="1:14">
      <c r="A13" s="83" t="s">
        <v>74</v>
      </c>
      <c r="B13" s="109">
        <v>20328</v>
      </c>
      <c r="C13" s="109">
        <v>7014</v>
      </c>
      <c r="D13" s="109">
        <v>22291</v>
      </c>
      <c r="E13" s="109">
        <v>3092</v>
      </c>
      <c r="F13" s="109">
        <v>12017</v>
      </c>
      <c r="G13" s="109">
        <v>737</v>
      </c>
      <c r="H13" s="109">
        <v>2375</v>
      </c>
      <c r="I13" s="109">
        <v>571</v>
      </c>
      <c r="J13" s="109">
        <v>1066</v>
      </c>
      <c r="K13" s="109">
        <v>11102</v>
      </c>
      <c r="L13" s="109">
        <v>2673</v>
      </c>
      <c r="M13" s="109">
        <v>4504</v>
      </c>
      <c r="N13" s="177">
        <f t="shared" si="0"/>
        <v>87770</v>
      </c>
    </row>
    <row r="14" spans="1:14">
      <c r="A14" s="83" t="s">
        <v>75</v>
      </c>
      <c r="B14" s="109">
        <v>10570</v>
      </c>
      <c r="C14" s="109">
        <v>10348</v>
      </c>
      <c r="D14" s="109">
        <v>8922</v>
      </c>
      <c r="E14" s="109">
        <v>4645</v>
      </c>
      <c r="F14" s="109">
        <v>3162</v>
      </c>
      <c r="G14" s="109">
        <v>777</v>
      </c>
      <c r="H14" s="109">
        <v>1153</v>
      </c>
      <c r="I14" s="109">
        <v>391</v>
      </c>
      <c r="J14" s="109">
        <v>143</v>
      </c>
      <c r="K14" s="109">
        <v>2845</v>
      </c>
      <c r="L14" s="109">
        <v>5332</v>
      </c>
      <c r="M14" s="109">
        <v>7926</v>
      </c>
      <c r="N14" s="177">
        <f t="shared" si="0"/>
        <v>56214</v>
      </c>
    </row>
    <row r="15" spans="1:14">
      <c r="A15" s="83" t="s">
        <v>22</v>
      </c>
      <c r="B15" s="109">
        <v>1205</v>
      </c>
      <c r="C15" s="109">
        <v>1199</v>
      </c>
      <c r="D15" s="109">
        <v>861</v>
      </c>
      <c r="E15" s="109">
        <v>488</v>
      </c>
      <c r="F15" s="109">
        <v>270</v>
      </c>
      <c r="G15" s="109">
        <v>51</v>
      </c>
      <c r="H15" s="109">
        <v>31</v>
      </c>
      <c r="I15" s="109">
        <v>1</v>
      </c>
      <c r="J15" s="109">
        <v>76</v>
      </c>
      <c r="K15" s="109">
        <v>244</v>
      </c>
      <c r="L15" s="109">
        <v>183</v>
      </c>
      <c r="M15" s="109">
        <v>876</v>
      </c>
      <c r="N15" s="177">
        <f t="shared" si="0"/>
        <v>5485</v>
      </c>
    </row>
    <row r="16" spans="1:14">
      <c r="A16" s="83" t="s">
        <v>76</v>
      </c>
      <c r="B16" s="109">
        <v>12934</v>
      </c>
      <c r="C16" s="109">
        <v>12165</v>
      </c>
      <c r="D16" s="109">
        <v>8961</v>
      </c>
      <c r="E16" s="109">
        <v>5309</v>
      </c>
      <c r="F16" s="109">
        <v>2523</v>
      </c>
      <c r="G16" s="109">
        <v>1035</v>
      </c>
      <c r="H16" s="109">
        <f>4058/4</f>
        <v>1014.5</v>
      </c>
      <c r="I16" s="109">
        <v>1015</v>
      </c>
      <c r="J16" s="109">
        <v>1015</v>
      </c>
      <c r="K16" s="109">
        <v>1015</v>
      </c>
      <c r="L16" s="109">
        <v>4904</v>
      </c>
      <c r="M16" s="109">
        <v>9943</v>
      </c>
      <c r="N16" s="177">
        <f t="shared" si="0"/>
        <v>61833.5</v>
      </c>
    </row>
    <row r="17" spans="1:14">
      <c r="A17" s="83" t="s">
        <v>77</v>
      </c>
      <c r="B17" s="109">
        <v>663</v>
      </c>
      <c r="C17" s="109">
        <v>2150</v>
      </c>
      <c r="D17" s="109">
        <v>1742</v>
      </c>
      <c r="E17" s="109">
        <v>659</v>
      </c>
      <c r="F17" s="109">
        <v>1413</v>
      </c>
      <c r="G17" s="109">
        <v>172</v>
      </c>
      <c r="H17" s="109">
        <v>399</v>
      </c>
      <c r="I17" s="109">
        <v>121</v>
      </c>
      <c r="J17" s="109">
        <v>115</v>
      </c>
      <c r="K17" s="109">
        <v>157</v>
      </c>
      <c r="L17" s="109">
        <v>349</v>
      </c>
      <c r="M17" s="109">
        <v>535</v>
      </c>
      <c r="N17" s="177">
        <f t="shared" si="0"/>
        <v>8475</v>
      </c>
    </row>
    <row r="18" spans="1:14">
      <c r="A18" s="83" t="s">
        <v>78</v>
      </c>
      <c r="B18" s="109">
        <v>1492</v>
      </c>
      <c r="C18" s="109">
        <v>1878</v>
      </c>
      <c r="D18" s="109">
        <v>1099</v>
      </c>
      <c r="E18" s="109">
        <v>683</v>
      </c>
      <c r="F18" s="109">
        <v>229</v>
      </c>
      <c r="G18" s="109">
        <v>197</v>
      </c>
      <c r="H18" s="109">
        <v>109</v>
      </c>
      <c r="I18" s="109">
        <v>148</v>
      </c>
      <c r="J18" s="109">
        <v>114</v>
      </c>
      <c r="K18" s="109">
        <v>399</v>
      </c>
      <c r="L18" s="109">
        <v>412</v>
      </c>
      <c r="M18" s="109">
        <v>1690</v>
      </c>
      <c r="N18" s="177">
        <f t="shared" si="0"/>
        <v>8450</v>
      </c>
    </row>
    <row r="19" spans="1:14">
      <c r="A19" s="25" t="s">
        <v>79</v>
      </c>
      <c r="B19" s="217">
        <v>12064</v>
      </c>
      <c r="C19" s="217">
        <v>15925</v>
      </c>
      <c r="D19" s="217">
        <v>12059</v>
      </c>
      <c r="E19" s="217">
        <v>8385</v>
      </c>
      <c r="F19" s="217">
        <v>4531</v>
      </c>
      <c r="G19" s="217">
        <v>2402</v>
      </c>
      <c r="H19" s="217">
        <v>357</v>
      </c>
      <c r="I19" s="217">
        <v>310</v>
      </c>
      <c r="J19" s="217">
        <v>434</v>
      </c>
      <c r="K19" s="217">
        <v>2113</v>
      </c>
      <c r="L19" s="109">
        <v>7812</v>
      </c>
      <c r="M19" s="217">
        <v>10857</v>
      </c>
      <c r="N19" s="177">
        <f t="shared" si="0"/>
        <v>77249</v>
      </c>
    </row>
    <row r="20" spans="1:14">
      <c r="A20" s="25" t="s">
        <v>80</v>
      </c>
      <c r="B20" s="217">
        <v>2667</v>
      </c>
      <c r="C20" s="217">
        <v>2390</v>
      </c>
      <c r="D20" s="217">
        <v>1898</v>
      </c>
      <c r="E20" s="217">
        <v>568</v>
      </c>
      <c r="F20" s="217">
        <v>549</v>
      </c>
      <c r="G20" s="217">
        <v>55</v>
      </c>
      <c r="H20" s="217">
        <v>24</v>
      </c>
      <c r="I20" s="217">
        <v>1</v>
      </c>
      <c r="J20" s="217">
        <v>77</v>
      </c>
      <c r="K20" s="217">
        <v>222</v>
      </c>
      <c r="L20" s="217">
        <v>236</v>
      </c>
      <c r="M20" s="217">
        <v>1901</v>
      </c>
      <c r="N20" s="177">
        <f t="shared" si="0"/>
        <v>10588</v>
      </c>
    </row>
    <row r="21" spans="1:14">
      <c r="A21" s="25" t="s">
        <v>81</v>
      </c>
      <c r="B21" s="217">
        <v>34068</v>
      </c>
      <c r="C21" s="217">
        <v>34430</v>
      </c>
      <c r="D21" s="217">
        <v>32489</v>
      </c>
      <c r="E21" s="217">
        <v>23085</v>
      </c>
      <c r="F21" s="217">
        <v>11835</v>
      </c>
      <c r="G21" s="217">
        <v>7317</v>
      </c>
      <c r="H21" s="217">
        <v>1465</v>
      </c>
      <c r="I21" s="217">
        <v>1359</v>
      </c>
      <c r="J21" s="217">
        <v>1524</v>
      </c>
      <c r="K21" s="217">
        <v>3966</v>
      </c>
      <c r="L21" s="217">
        <v>13444</v>
      </c>
      <c r="M21" s="217">
        <v>30535</v>
      </c>
      <c r="N21" s="177">
        <f t="shared" si="0"/>
        <v>195517</v>
      </c>
    </row>
    <row r="22" spans="1:14">
      <c r="A22" s="25" t="s">
        <v>23</v>
      </c>
      <c r="B22" s="217">
        <v>50871</v>
      </c>
      <c r="C22" s="217">
        <v>49498</v>
      </c>
      <c r="D22" s="217">
        <v>48087</v>
      </c>
      <c r="E22" s="217">
        <v>32223</v>
      </c>
      <c r="F22" s="217">
        <v>16371</v>
      </c>
      <c r="G22" s="217">
        <v>14697</v>
      </c>
      <c r="H22" s="217">
        <v>6524</v>
      </c>
      <c r="I22" s="217">
        <v>6807</v>
      </c>
      <c r="J22" s="217">
        <v>8331</v>
      </c>
      <c r="K22" s="217">
        <v>11388</v>
      </c>
      <c r="L22" s="217">
        <v>20121</v>
      </c>
      <c r="M22" s="217">
        <v>39891</v>
      </c>
      <c r="N22" s="177">
        <f t="shared" si="0"/>
        <v>304809</v>
      </c>
    </row>
    <row r="23" spans="1:14">
      <c r="A23" s="25" t="s">
        <v>82</v>
      </c>
      <c r="B23" s="217">
        <v>4835</v>
      </c>
      <c r="C23" s="217">
        <v>3782</v>
      </c>
      <c r="D23" s="217">
        <v>2070</v>
      </c>
      <c r="E23" s="217">
        <v>2555</v>
      </c>
      <c r="F23" s="217">
        <v>4932</v>
      </c>
      <c r="G23" s="217">
        <v>5178</v>
      </c>
      <c r="H23" s="217">
        <v>4824</v>
      </c>
      <c r="I23" s="217">
        <v>4170</v>
      </c>
      <c r="J23" s="217">
        <v>8889</v>
      </c>
      <c r="K23" s="217">
        <v>7742</v>
      </c>
      <c r="L23" s="217">
        <v>8889</v>
      </c>
      <c r="M23" s="217">
        <v>19495</v>
      </c>
      <c r="N23" s="177">
        <f t="shared" si="0"/>
        <v>77361</v>
      </c>
    </row>
    <row r="24" spans="1:14" ht="15.75" thickBot="1">
      <c r="A24" s="104" t="s">
        <v>24</v>
      </c>
      <c r="B24" s="156">
        <v>18490</v>
      </c>
      <c r="C24" s="156">
        <v>20572</v>
      </c>
      <c r="D24" s="156">
        <v>13614</v>
      </c>
      <c r="E24" s="156">
        <v>14003</v>
      </c>
      <c r="F24" s="156">
        <v>9551</v>
      </c>
      <c r="G24" s="223">
        <v>4682</v>
      </c>
      <c r="H24" s="156">
        <v>3649</v>
      </c>
      <c r="I24" s="156">
        <f t="shared" ref="I24:L24" si="1">62132/5</f>
        <v>12426.4</v>
      </c>
      <c r="J24" s="156">
        <f t="shared" si="1"/>
        <v>12426.4</v>
      </c>
      <c r="K24" s="156">
        <f t="shared" si="1"/>
        <v>12426.4</v>
      </c>
      <c r="L24" s="156">
        <f t="shared" si="1"/>
        <v>12426.4</v>
      </c>
      <c r="M24" s="156">
        <f>62132/5</f>
        <v>12426.4</v>
      </c>
      <c r="N24" s="180">
        <f t="shared" si="0"/>
        <v>146692.99999999997</v>
      </c>
    </row>
    <row r="25" spans="1:14" ht="16.5" thickTop="1" thickBot="1">
      <c r="A25" s="84" t="s">
        <v>45</v>
      </c>
      <c r="B25" s="218">
        <f>SUM(B4:B24)</f>
        <v>384455</v>
      </c>
      <c r="C25" s="218">
        <f t="shared" ref="C25:M25" si="2">SUM(C4:C24)</f>
        <v>420977</v>
      </c>
      <c r="D25" s="218">
        <f t="shared" si="2"/>
        <v>344386</v>
      </c>
      <c r="E25" s="218">
        <f t="shared" si="2"/>
        <v>216607</v>
      </c>
      <c r="F25" s="218">
        <f t="shared" si="2"/>
        <v>155244</v>
      </c>
      <c r="G25" s="218">
        <f t="shared" si="2"/>
        <v>71267</v>
      </c>
      <c r="H25" s="218">
        <f t="shared" si="2"/>
        <v>44376.5</v>
      </c>
      <c r="I25" s="218">
        <f t="shared" si="2"/>
        <v>35086.400000000001</v>
      </c>
      <c r="J25" s="218">
        <f t="shared" si="2"/>
        <v>51651.4</v>
      </c>
      <c r="K25" s="218">
        <f t="shared" si="2"/>
        <v>101594.4</v>
      </c>
      <c r="L25" s="218">
        <f t="shared" si="2"/>
        <v>202130.4</v>
      </c>
      <c r="M25" s="218">
        <f t="shared" si="2"/>
        <v>314333.40000000002</v>
      </c>
      <c r="N25" s="219">
        <f t="shared" si="0"/>
        <v>2342108.4999999995</v>
      </c>
    </row>
    <row r="26" spans="1:14">
      <c r="A26" s="6"/>
      <c r="B26" s="182"/>
      <c r="C26" s="182"/>
      <c r="D26" s="182"/>
      <c r="E26" s="182"/>
      <c r="F26" s="182"/>
      <c r="G26" s="182"/>
      <c r="H26" s="182"/>
      <c r="I26" s="182"/>
      <c r="J26" s="182"/>
      <c r="K26" s="182"/>
      <c r="L26" s="182"/>
      <c r="M26" s="182"/>
      <c r="N26" s="183"/>
    </row>
    <row r="27" spans="1:14" ht="15.75" thickBot="1">
      <c r="A27" s="6" t="s">
        <v>15</v>
      </c>
      <c r="B27" s="182"/>
      <c r="C27" s="182"/>
      <c r="D27" s="182"/>
      <c r="E27" s="182"/>
      <c r="F27" s="182"/>
      <c r="G27" s="182"/>
      <c r="H27" s="182"/>
      <c r="I27" s="182"/>
      <c r="J27" s="182"/>
      <c r="K27" s="182"/>
      <c r="L27" s="182"/>
      <c r="M27" s="182"/>
      <c r="N27" s="183"/>
    </row>
    <row r="28" spans="1:14">
      <c r="A28" s="5" t="s">
        <v>85</v>
      </c>
      <c r="B28" s="222">
        <v>1919</v>
      </c>
      <c r="C28" s="222">
        <v>2467</v>
      </c>
      <c r="D28" s="222">
        <v>722</v>
      </c>
      <c r="E28" s="222">
        <v>1272</v>
      </c>
      <c r="F28" s="222">
        <v>453</v>
      </c>
      <c r="G28" s="222">
        <v>97</v>
      </c>
      <c r="H28" s="222">
        <v>206</v>
      </c>
      <c r="I28" s="222">
        <v>5</v>
      </c>
      <c r="J28" s="222">
        <v>332</v>
      </c>
      <c r="K28" s="222">
        <v>583</v>
      </c>
      <c r="L28" s="222">
        <v>775</v>
      </c>
      <c r="M28" s="222">
        <v>1938</v>
      </c>
      <c r="N28" s="176">
        <f>SUM(B28:M28)</f>
        <v>10769</v>
      </c>
    </row>
    <row r="29" spans="1:14">
      <c r="A29" s="3" t="s">
        <v>86</v>
      </c>
      <c r="B29" s="107">
        <f>2790/6</f>
        <v>465</v>
      </c>
      <c r="C29" s="109">
        <v>465</v>
      </c>
      <c r="D29" s="107">
        <v>465</v>
      </c>
      <c r="E29" s="107">
        <v>465</v>
      </c>
      <c r="F29" s="109">
        <v>465</v>
      </c>
      <c r="G29" s="109">
        <v>465</v>
      </c>
      <c r="H29" s="109">
        <v>26</v>
      </c>
      <c r="I29" s="109">
        <v>3</v>
      </c>
      <c r="J29" s="109">
        <v>50</v>
      </c>
      <c r="K29" s="109">
        <v>248</v>
      </c>
      <c r="L29" s="217">
        <v>415</v>
      </c>
      <c r="M29" s="217">
        <v>781</v>
      </c>
      <c r="N29" s="177">
        <f>SUM(B29:M29)</f>
        <v>4313</v>
      </c>
    </row>
    <row r="30" spans="1:14">
      <c r="A30" s="3" t="s">
        <v>87</v>
      </c>
      <c r="B30" s="109">
        <v>2617</v>
      </c>
      <c r="C30" s="109">
        <v>3039</v>
      </c>
      <c r="D30" s="109">
        <v>1179</v>
      </c>
      <c r="E30" s="109">
        <v>1241</v>
      </c>
      <c r="F30" s="109">
        <v>172</v>
      </c>
      <c r="G30" s="109">
        <v>90</v>
      </c>
      <c r="H30" s="109">
        <v>3</v>
      </c>
      <c r="I30" s="109">
        <v>2</v>
      </c>
      <c r="J30" s="109">
        <f>(I30+K30)/2</f>
        <v>469.5</v>
      </c>
      <c r="K30" s="109">
        <v>937</v>
      </c>
      <c r="L30" s="109">
        <v>1097</v>
      </c>
      <c r="M30" s="109">
        <v>2690</v>
      </c>
      <c r="N30" s="177">
        <f t="shared" ref="N30:N33" si="3">SUM(B30:M30)</f>
        <v>13536.5</v>
      </c>
    </row>
    <row r="31" spans="1:14">
      <c r="A31" s="3" t="s">
        <v>88</v>
      </c>
      <c r="B31" s="109">
        <v>2597</v>
      </c>
      <c r="C31" s="109">
        <v>2049</v>
      </c>
      <c r="D31" s="109">
        <v>885</v>
      </c>
      <c r="E31" s="109">
        <v>747</v>
      </c>
      <c r="F31" s="109">
        <v>398</v>
      </c>
      <c r="G31" s="109">
        <v>52</v>
      </c>
      <c r="H31" s="109">
        <v>9</v>
      </c>
      <c r="I31" s="109">
        <v>0</v>
      </c>
      <c r="J31" s="109">
        <f t="shared" ref="J31:J33" si="4">(I31+K31)/2</f>
        <v>164</v>
      </c>
      <c r="K31" s="109">
        <v>328</v>
      </c>
      <c r="L31" s="109">
        <v>1180</v>
      </c>
      <c r="M31" s="109">
        <v>1506</v>
      </c>
      <c r="N31" s="177">
        <f>SUM(B31:M31)</f>
        <v>9915</v>
      </c>
    </row>
    <row r="32" spans="1:14">
      <c r="A32" s="3" t="s">
        <v>89</v>
      </c>
      <c r="B32" s="109">
        <v>869</v>
      </c>
      <c r="C32" s="109">
        <v>982</v>
      </c>
      <c r="D32" s="109">
        <v>428</v>
      </c>
      <c r="E32" s="109">
        <v>358</v>
      </c>
      <c r="F32" s="109">
        <v>168</v>
      </c>
      <c r="G32" s="109">
        <v>22</v>
      </c>
      <c r="H32" s="109">
        <v>0</v>
      </c>
      <c r="I32" s="109">
        <v>191</v>
      </c>
      <c r="J32" s="109">
        <f t="shared" si="4"/>
        <v>205</v>
      </c>
      <c r="K32" s="109">
        <v>219</v>
      </c>
      <c r="L32" s="109">
        <v>323</v>
      </c>
      <c r="M32" s="109">
        <v>854</v>
      </c>
      <c r="N32" s="177">
        <f t="shared" si="3"/>
        <v>4619</v>
      </c>
    </row>
    <row r="33" spans="1:14" ht="15.75" thickBot="1">
      <c r="A33" s="3" t="s">
        <v>90</v>
      </c>
      <c r="B33" s="223">
        <v>589</v>
      </c>
      <c r="C33" s="223">
        <v>193</v>
      </c>
      <c r="D33" s="223">
        <v>738</v>
      </c>
      <c r="E33" s="223">
        <v>163</v>
      </c>
      <c r="F33" s="223">
        <v>628</v>
      </c>
      <c r="G33" s="223">
        <v>204</v>
      </c>
      <c r="H33" s="223">
        <v>272</v>
      </c>
      <c r="I33" s="223">
        <f>(H33+K33)/2</f>
        <v>271.5</v>
      </c>
      <c r="J33" s="223">
        <f t="shared" si="4"/>
        <v>271.25</v>
      </c>
      <c r="K33" s="223">
        <v>271</v>
      </c>
      <c r="L33" s="223">
        <v>467</v>
      </c>
      <c r="M33" s="223">
        <v>136</v>
      </c>
      <c r="N33" s="180">
        <f t="shared" si="3"/>
        <v>4203.75</v>
      </c>
    </row>
    <row r="34" spans="1:14" ht="16.5" thickTop="1" thickBot="1">
      <c r="A34" s="84" t="s">
        <v>46</v>
      </c>
      <c r="B34" s="218">
        <f t="shared" ref="B34:N34" si="5">SUM(B28:B33)</f>
        <v>9056</v>
      </c>
      <c r="C34" s="218">
        <f t="shared" si="5"/>
        <v>9195</v>
      </c>
      <c r="D34" s="218">
        <f t="shared" si="5"/>
        <v>4417</v>
      </c>
      <c r="E34" s="218">
        <f t="shared" si="5"/>
        <v>4246</v>
      </c>
      <c r="F34" s="218">
        <f t="shared" si="5"/>
        <v>2284</v>
      </c>
      <c r="G34" s="218">
        <f t="shared" si="5"/>
        <v>930</v>
      </c>
      <c r="H34" s="218">
        <f t="shared" si="5"/>
        <v>516</v>
      </c>
      <c r="I34" s="218">
        <f t="shared" si="5"/>
        <v>472.5</v>
      </c>
      <c r="J34" s="218">
        <f t="shared" si="5"/>
        <v>1491.75</v>
      </c>
      <c r="K34" s="218">
        <f t="shared" si="5"/>
        <v>2586</v>
      </c>
      <c r="L34" s="218">
        <f t="shared" si="5"/>
        <v>4257</v>
      </c>
      <c r="M34" s="218">
        <f t="shared" si="5"/>
        <v>7905</v>
      </c>
      <c r="N34" s="219">
        <f t="shared" si="5"/>
        <v>47356.25</v>
      </c>
    </row>
    <row r="35" spans="1:14" ht="15.75" thickBot="1">
      <c r="A35" s="17"/>
      <c r="B35" s="159"/>
      <c r="C35" s="159"/>
      <c r="D35" s="159"/>
      <c r="E35" s="159"/>
      <c r="F35" s="159"/>
      <c r="G35" s="159"/>
      <c r="H35" s="159"/>
      <c r="I35" s="159"/>
      <c r="J35" s="159"/>
      <c r="K35" s="159"/>
      <c r="L35" s="159"/>
      <c r="M35" s="159"/>
      <c r="N35" s="159"/>
    </row>
    <row r="36" spans="1:14" ht="15.75" thickBot="1">
      <c r="A36" s="93" t="s">
        <v>20</v>
      </c>
      <c r="B36" s="227">
        <v>6506</v>
      </c>
      <c r="C36" s="227">
        <v>6628</v>
      </c>
      <c r="D36" s="227">
        <v>5091</v>
      </c>
      <c r="E36" s="227">
        <v>5059</v>
      </c>
      <c r="F36" s="227">
        <v>2793</v>
      </c>
      <c r="G36" s="227">
        <v>1284</v>
      </c>
      <c r="H36" s="227">
        <v>257</v>
      </c>
      <c r="I36" s="227">
        <f>(H36+M36)/2</f>
        <v>3562</v>
      </c>
      <c r="J36" s="227">
        <v>3562</v>
      </c>
      <c r="K36" s="227">
        <v>3562</v>
      </c>
      <c r="L36" s="227">
        <v>3562</v>
      </c>
      <c r="M36" s="227">
        <v>6867</v>
      </c>
      <c r="N36" s="228">
        <f>SUM(B36:M36)</f>
        <v>48733</v>
      </c>
    </row>
    <row r="37" spans="1:14" ht="15.75" thickBot="1">
      <c r="B37" s="229"/>
      <c r="C37" s="229"/>
      <c r="D37" s="229"/>
      <c r="E37" s="229"/>
      <c r="F37" s="229"/>
      <c r="G37" s="229"/>
      <c r="H37" s="229"/>
      <c r="I37" s="229"/>
      <c r="J37" s="229"/>
      <c r="K37" s="229"/>
      <c r="L37" s="229"/>
      <c r="M37" s="229"/>
      <c r="N37" s="229"/>
    </row>
    <row r="38" spans="1:14" ht="15.75" thickBot="1">
      <c r="A38" s="85" t="s">
        <v>61</v>
      </c>
      <c r="B38" s="224">
        <f>B25+B34+B36</f>
        <v>400017</v>
      </c>
      <c r="C38" s="224">
        <f t="shared" ref="C38:N38" si="6">C25+C34+C36</f>
        <v>436800</v>
      </c>
      <c r="D38" s="224">
        <f t="shared" si="6"/>
        <v>353894</v>
      </c>
      <c r="E38" s="224">
        <f t="shared" si="6"/>
        <v>225912</v>
      </c>
      <c r="F38" s="224">
        <f t="shared" si="6"/>
        <v>160321</v>
      </c>
      <c r="G38" s="224">
        <f t="shared" si="6"/>
        <v>73481</v>
      </c>
      <c r="H38" s="224">
        <f t="shared" si="6"/>
        <v>45149.5</v>
      </c>
      <c r="I38" s="224">
        <f t="shared" si="6"/>
        <v>39120.9</v>
      </c>
      <c r="J38" s="224">
        <f t="shared" si="6"/>
        <v>56705.15</v>
      </c>
      <c r="K38" s="224">
        <f t="shared" si="6"/>
        <v>107742.39999999999</v>
      </c>
      <c r="L38" s="224">
        <f t="shared" si="6"/>
        <v>209949.4</v>
      </c>
      <c r="M38" s="224">
        <f t="shared" si="6"/>
        <v>329105.40000000002</v>
      </c>
      <c r="N38" s="225">
        <f t="shared" si="6"/>
        <v>2438197.7499999995</v>
      </c>
    </row>
    <row r="39" spans="1:14">
      <c r="A39" s="17" t="s">
        <v>125</v>
      </c>
      <c r="B39" s="17"/>
      <c r="C39" s="17"/>
      <c r="D39" s="17"/>
      <c r="E39" s="17"/>
      <c r="F39" s="17"/>
      <c r="G39" s="17"/>
      <c r="H39" s="17"/>
      <c r="I39" s="17"/>
      <c r="J39" s="17"/>
      <c r="K39" s="17"/>
      <c r="L39" s="17"/>
      <c r="M39" s="17"/>
      <c r="N39" s="17"/>
    </row>
    <row r="40" spans="1:14">
      <c r="A40" s="17" t="s">
        <v>43</v>
      </c>
      <c r="B40" s="17"/>
      <c r="C40" s="17"/>
      <c r="D40" s="17"/>
      <c r="E40" s="17"/>
      <c r="F40" s="17"/>
      <c r="G40" s="17"/>
      <c r="H40" s="17"/>
      <c r="I40" s="17"/>
      <c r="J40" s="17"/>
      <c r="K40" s="17"/>
      <c r="L40" s="17"/>
      <c r="M40" s="17"/>
      <c r="N40" s="1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39"/>
  <sheetViews>
    <sheetView showGridLines="0" topLeftCell="A7" workbookViewId="0">
      <selection activeCell="J8" sqref="J8"/>
    </sheetView>
  </sheetViews>
  <sheetFormatPr defaultColWidth="8.85546875" defaultRowHeight="15"/>
  <cols>
    <col min="1" max="1" width="27.7109375" customWidth="1"/>
    <col min="14" max="14" width="13.140625" customWidth="1"/>
  </cols>
  <sheetData>
    <row r="1" spans="1:14" ht="17.25" thickBot="1">
      <c r="A1" s="82" t="s">
        <v>0</v>
      </c>
      <c r="B1" s="90">
        <v>40544</v>
      </c>
      <c r="C1" s="90">
        <v>40575</v>
      </c>
      <c r="D1" s="90">
        <v>40603</v>
      </c>
      <c r="E1" s="90">
        <v>40634</v>
      </c>
      <c r="F1" s="90">
        <v>40664</v>
      </c>
      <c r="G1" s="90">
        <v>40695</v>
      </c>
      <c r="H1" s="90">
        <v>40725</v>
      </c>
      <c r="I1" s="90">
        <v>40756</v>
      </c>
      <c r="J1" s="90">
        <v>40787</v>
      </c>
      <c r="K1" s="90">
        <v>40817</v>
      </c>
      <c r="L1" s="90">
        <v>40848</v>
      </c>
      <c r="M1" s="90">
        <v>40878</v>
      </c>
      <c r="N1" s="9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
      <c r="A4" s="100" t="s">
        <v>91</v>
      </c>
      <c r="B4" s="184">
        <v>163425</v>
      </c>
      <c r="C4" s="184">
        <v>169926</v>
      </c>
      <c r="D4" s="184">
        <v>144760</v>
      </c>
      <c r="E4" s="184">
        <v>111137</v>
      </c>
      <c r="F4" s="184">
        <v>74502</v>
      </c>
      <c r="G4" s="184">
        <v>33993</v>
      </c>
      <c r="H4" s="184">
        <v>7997</v>
      </c>
      <c r="I4" s="184">
        <v>9527</v>
      </c>
      <c r="J4" s="184">
        <v>31579</v>
      </c>
      <c r="K4" s="184">
        <v>71081</v>
      </c>
      <c r="L4" s="184">
        <v>93634</v>
      </c>
      <c r="M4" s="184">
        <v>362468</v>
      </c>
      <c r="N4" s="176">
        <f>SUM(B4:M4)</f>
        <v>1274029</v>
      </c>
    </row>
    <row r="5" spans="1:14">
      <c r="A5" s="101" t="s">
        <v>21</v>
      </c>
      <c r="B5" s="178">
        <v>50047</v>
      </c>
      <c r="C5" s="178">
        <v>48781</v>
      </c>
      <c r="D5" s="178">
        <v>41486</v>
      </c>
      <c r="E5" s="178">
        <v>34625</v>
      </c>
      <c r="F5" s="178">
        <v>23550</v>
      </c>
      <c r="G5" s="178">
        <v>1251</v>
      </c>
      <c r="H5" s="178">
        <v>591</v>
      </c>
      <c r="I5" s="178">
        <v>986</v>
      </c>
      <c r="J5" s="178">
        <v>1707</v>
      </c>
      <c r="K5" s="178">
        <v>16675</v>
      </c>
      <c r="L5" s="178">
        <v>28721</v>
      </c>
      <c r="M5" s="178">
        <v>32938</v>
      </c>
      <c r="N5" s="177">
        <f t="shared" ref="N5:N24" si="0">SUM(B5:M5)</f>
        <v>281358</v>
      </c>
    </row>
    <row r="6" spans="1:14">
      <c r="A6" s="83" t="s">
        <v>92</v>
      </c>
      <c r="B6" s="109">
        <v>1522</v>
      </c>
      <c r="C6" s="109">
        <v>2150</v>
      </c>
      <c r="D6" s="109">
        <v>1255</v>
      </c>
      <c r="E6" s="109">
        <v>2256</v>
      </c>
      <c r="F6" s="109">
        <v>935</v>
      </c>
      <c r="G6" s="109">
        <v>928</v>
      </c>
      <c r="H6" s="109">
        <v>900</v>
      </c>
      <c r="I6" s="109">
        <v>782</v>
      </c>
      <c r="J6" s="109">
        <v>1521</v>
      </c>
      <c r="K6" s="109">
        <v>1338</v>
      </c>
      <c r="L6" s="109">
        <v>2402</v>
      </c>
      <c r="M6" s="109">
        <v>1261</v>
      </c>
      <c r="N6" s="177">
        <f t="shared" si="0"/>
        <v>17250</v>
      </c>
    </row>
    <row r="7" spans="1:14">
      <c r="A7" s="83" t="s">
        <v>2</v>
      </c>
      <c r="B7" s="109">
        <v>11474</v>
      </c>
      <c r="C7" s="109">
        <v>13330</v>
      </c>
      <c r="D7" s="109">
        <v>8058</v>
      </c>
      <c r="E7" s="109">
        <v>7849</v>
      </c>
      <c r="F7" s="109">
        <v>2926</v>
      </c>
      <c r="G7" s="109">
        <v>1387</v>
      </c>
      <c r="H7" s="109">
        <f>529+1249</f>
        <v>1778</v>
      </c>
      <c r="I7" s="109">
        <v>717</v>
      </c>
      <c r="J7" s="109">
        <v>1613</v>
      </c>
      <c r="K7" s="109">
        <v>1798</v>
      </c>
      <c r="L7" s="109">
        <v>4324</v>
      </c>
      <c r="M7" s="109">
        <v>7473</v>
      </c>
      <c r="N7" s="177">
        <f t="shared" si="0"/>
        <v>62727</v>
      </c>
    </row>
    <row r="8" spans="1:14">
      <c r="A8" s="83" t="s">
        <v>69</v>
      </c>
      <c r="B8" s="109">
        <v>7839</v>
      </c>
      <c r="C8" s="109">
        <v>13333</v>
      </c>
      <c r="D8" s="109">
        <v>6958</v>
      </c>
      <c r="E8" s="109">
        <v>8851</v>
      </c>
      <c r="F8" s="109">
        <v>4375</v>
      </c>
      <c r="G8" s="109">
        <v>1342</v>
      </c>
      <c r="H8" s="109">
        <v>352</v>
      </c>
      <c r="I8" s="109">
        <v>600</v>
      </c>
      <c r="J8" s="109">
        <f>861+23</f>
        <v>884</v>
      </c>
      <c r="K8" s="109">
        <v>2670</v>
      </c>
      <c r="L8" s="109">
        <v>4147</v>
      </c>
      <c r="M8" s="109">
        <v>6755</v>
      </c>
      <c r="N8" s="177">
        <f t="shared" si="0"/>
        <v>58106</v>
      </c>
    </row>
    <row r="9" spans="1:14">
      <c r="A9" s="83" t="s">
        <v>70</v>
      </c>
      <c r="B9" s="109">
        <v>1046</v>
      </c>
      <c r="C9" s="109">
        <v>1607</v>
      </c>
      <c r="D9" s="109">
        <v>5126</v>
      </c>
      <c r="E9" s="109">
        <v>1507</v>
      </c>
      <c r="F9" s="109">
        <v>1258</v>
      </c>
      <c r="G9" s="109">
        <v>611</v>
      </c>
      <c r="H9" s="109">
        <v>2595</v>
      </c>
      <c r="I9" s="109">
        <v>569</v>
      </c>
      <c r="J9" s="109">
        <v>913</v>
      </c>
      <c r="K9" s="109">
        <v>1460</v>
      </c>
      <c r="L9" s="109">
        <v>2525</v>
      </c>
      <c r="M9" s="109">
        <v>515</v>
      </c>
      <c r="N9" s="177">
        <f t="shared" si="0"/>
        <v>19732</v>
      </c>
    </row>
    <row r="10" spans="1:14">
      <c r="A10" s="83" t="s">
        <v>71</v>
      </c>
      <c r="B10" s="109">
        <v>1319</v>
      </c>
      <c r="C10" s="109">
        <v>1957</v>
      </c>
      <c r="D10" s="109">
        <v>2500</v>
      </c>
      <c r="E10" s="109">
        <v>1392</v>
      </c>
      <c r="F10" s="109">
        <v>2849</v>
      </c>
      <c r="G10" s="109">
        <v>606</v>
      </c>
      <c r="H10" s="109">
        <v>396</v>
      </c>
      <c r="I10" s="109">
        <v>579</v>
      </c>
      <c r="J10" s="109">
        <v>703</v>
      </c>
      <c r="K10" s="109">
        <v>1303</v>
      </c>
      <c r="L10" s="109">
        <v>2212</v>
      </c>
      <c r="M10" s="109">
        <v>1421</v>
      </c>
      <c r="N10" s="177">
        <f t="shared" si="0"/>
        <v>17237</v>
      </c>
    </row>
    <row r="11" spans="1:14">
      <c r="A11" s="83" t="s">
        <v>72</v>
      </c>
      <c r="B11" s="109">
        <v>1472</v>
      </c>
      <c r="C11" s="109">
        <v>4423</v>
      </c>
      <c r="D11" s="109">
        <v>118</v>
      </c>
      <c r="E11" s="109">
        <v>2794</v>
      </c>
      <c r="F11" s="109">
        <v>37</v>
      </c>
      <c r="G11" s="109">
        <v>1322</v>
      </c>
      <c r="H11" s="109">
        <v>1007</v>
      </c>
      <c r="I11" s="109">
        <v>1038</v>
      </c>
      <c r="J11" s="109">
        <v>1075</v>
      </c>
      <c r="K11" s="109">
        <v>1907</v>
      </c>
      <c r="L11" s="109">
        <v>1125</v>
      </c>
      <c r="M11" s="109">
        <v>1756</v>
      </c>
      <c r="N11" s="177">
        <f t="shared" si="0"/>
        <v>18074</v>
      </c>
    </row>
    <row r="12" spans="1:14">
      <c r="A12" s="83" t="s">
        <v>73</v>
      </c>
      <c r="B12" s="109">
        <v>3528</v>
      </c>
      <c r="C12" s="109">
        <v>5198</v>
      </c>
      <c r="D12" s="109">
        <v>3334</v>
      </c>
      <c r="E12" s="109">
        <v>2738</v>
      </c>
      <c r="F12" s="109">
        <v>2119</v>
      </c>
      <c r="G12" s="109">
        <v>316</v>
      </c>
      <c r="H12" s="109">
        <v>161</v>
      </c>
      <c r="I12" s="109">
        <v>85</v>
      </c>
      <c r="J12" s="109">
        <v>127</v>
      </c>
      <c r="K12" s="109">
        <v>837</v>
      </c>
      <c r="L12" s="109">
        <v>2062</v>
      </c>
      <c r="M12" s="109">
        <v>2512</v>
      </c>
      <c r="N12" s="177">
        <f t="shared" si="0"/>
        <v>23017</v>
      </c>
    </row>
    <row r="13" spans="1:14">
      <c r="A13" s="83" t="s">
        <v>74</v>
      </c>
      <c r="B13" s="109">
        <v>37405</v>
      </c>
      <c r="C13" s="109">
        <v>20009</v>
      </c>
      <c r="D13" s="109">
        <v>27023</v>
      </c>
      <c r="E13" s="109">
        <v>13446</v>
      </c>
      <c r="F13" s="109">
        <v>9957</v>
      </c>
      <c r="G13" s="109">
        <v>1705</v>
      </c>
      <c r="H13" s="109">
        <v>1655</v>
      </c>
      <c r="I13" s="109">
        <v>523</v>
      </c>
      <c r="J13" s="109">
        <v>4074</v>
      </c>
      <c r="K13" s="109">
        <v>4023</v>
      </c>
      <c r="L13" s="109">
        <v>6038</v>
      </c>
      <c r="M13" s="109">
        <v>15030</v>
      </c>
      <c r="N13" s="177">
        <f t="shared" si="0"/>
        <v>140888</v>
      </c>
    </row>
    <row r="14" spans="1:14">
      <c r="A14" s="83" t="s">
        <v>75</v>
      </c>
      <c r="B14" s="109">
        <v>9119</v>
      </c>
      <c r="C14" s="109">
        <v>13131</v>
      </c>
      <c r="D14" s="109">
        <v>6285</v>
      </c>
      <c r="E14" s="109">
        <v>6840</v>
      </c>
      <c r="F14" s="109">
        <f>6673*0.35301</f>
        <v>2355.63573</v>
      </c>
      <c r="G14" s="109">
        <v>1002</v>
      </c>
      <c r="H14" s="109">
        <v>185</v>
      </c>
      <c r="I14" s="109">
        <v>419</v>
      </c>
      <c r="J14" s="109">
        <v>900</v>
      </c>
      <c r="K14" s="109">
        <v>2307</v>
      </c>
      <c r="L14" s="109">
        <v>5011</v>
      </c>
      <c r="M14" s="109">
        <v>6024</v>
      </c>
      <c r="N14" s="177">
        <f t="shared" si="0"/>
        <v>53578.635730000002</v>
      </c>
    </row>
    <row r="15" spans="1:14">
      <c r="A15" s="83" t="s">
        <v>22</v>
      </c>
      <c r="B15" s="109">
        <v>213</v>
      </c>
      <c r="C15" s="109">
        <v>1417</v>
      </c>
      <c r="D15" s="109">
        <v>776</v>
      </c>
      <c r="E15" s="109">
        <v>692</v>
      </c>
      <c r="F15" s="109">
        <v>245</v>
      </c>
      <c r="G15" s="109">
        <v>65</v>
      </c>
      <c r="H15" s="109">
        <v>38</v>
      </c>
      <c r="I15" s="109">
        <v>2</v>
      </c>
      <c r="J15" s="109">
        <v>37</v>
      </c>
      <c r="K15" s="109">
        <v>118</v>
      </c>
      <c r="L15" s="109">
        <v>38</v>
      </c>
      <c r="M15" s="109">
        <v>387</v>
      </c>
      <c r="N15" s="177">
        <f>SUM(B15:M15)</f>
        <v>4028</v>
      </c>
    </row>
    <row r="16" spans="1:14">
      <c r="A16" s="83" t="s">
        <v>76</v>
      </c>
      <c r="B16" s="109">
        <v>9524</v>
      </c>
      <c r="C16" s="109">
        <v>14340</v>
      </c>
      <c r="D16" s="109">
        <v>7309</v>
      </c>
      <c r="E16" s="109">
        <v>6702</v>
      </c>
      <c r="F16" s="109">
        <v>4915</v>
      </c>
      <c r="G16" s="109">
        <v>1100</v>
      </c>
      <c r="H16" s="109">
        <v>628</v>
      </c>
      <c r="I16" s="109">
        <f>976+627</f>
        <v>1603</v>
      </c>
      <c r="J16" s="109">
        <v>442</v>
      </c>
      <c r="K16" s="109">
        <v>2493</v>
      </c>
      <c r="L16" s="109">
        <v>4873</v>
      </c>
      <c r="M16" s="109">
        <v>7084</v>
      </c>
      <c r="N16" s="177">
        <f t="shared" si="0"/>
        <v>61013</v>
      </c>
    </row>
    <row r="17" spans="1:14">
      <c r="A17" s="83" t="s">
        <v>77</v>
      </c>
      <c r="B17" s="109">
        <v>456</v>
      </c>
      <c r="C17" s="109">
        <v>2639</v>
      </c>
      <c r="D17" s="109">
        <v>518</v>
      </c>
      <c r="E17" s="109">
        <v>1801</v>
      </c>
      <c r="F17" s="109">
        <v>625</v>
      </c>
      <c r="G17" s="109">
        <v>284</v>
      </c>
      <c r="H17" s="109">
        <v>312</v>
      </c>
      <c r="I17" s="109">
        <v>129</v>
      </c>
      <c r="J17" s="109">
        <v>68</v>
      </c>
      <c r="K17" s="109">
        <v>200</v>
      </c>
      <c r="L17" s="109">
        <v>179</v>
      </c>
      <c r="M17" s="109">
        <v>385</v>
      </c>
      <c r="N17" s="177">
        <f t="shared" si="0"/>
        <v>7596</v>
      </c>
    </row>
    <row r="18" spans="1:14">
      <c r="A18" s="83" t="s">
        <v>78</v>
      </c>
      <c r="B18" s="109">
        <v>1348</v>
      </c>
      <c r="C18" s="109">
        <v>2001</v>
      </c>
      <c r="D18" s="109">
        <v>1389</v>
      </c>
      <c r="E18" s="109">
        <v>723</v>
      </c>
      <c r="F18" s="109">
        <v>941</v>
      </c>
      <c r="G18" s="109">
        <v>194</v>
      </c>
      <c r="H18" s="109">
        <v>135</v>
      </c>
      <c r="I18" s="109">
        <v>154</v>
      </c>
      <c r="J18" s="109">
        <v>116</v>
      </c>
      <c r="K18" s="109">
        <v>295</v>
      </c>
      <c r="L18" s="109">
        <v>598</v>
      </c>
      <c r="M18" s="109">
        <v>1120</v>
      </c>
      <c r="N18" s="177">
        <f t="shared" si="0"/>
        <v>9014</v>
      </c>
    </row>
    <row r="19" spans="1:14">
      <c r="A19" s="25" t="s">
        <v>79</v>
      </c>
      <c r="B19" s="217">
        <v>15299</v>
      </c>
      <c r="C19" s="217">
        <v>12905</v>
      </c>
      <c r="D19" s="217">
        <v>11938</v>
      </c>
      <c r="E19" s="217">
        <v>7301</v>
      </c>
      <c r="F19" s="217">
        <v>925</v>
      </c>
      <c r="G19" s="217">
        <v>65</v>
      </c>
      <c r="H19" s="217">
        <v>102</v>
      </c>
      <c r="I19" s="217">
        <v>483</v>
      </c>
      <c r="J19" s="217">
        <v>1423</v>
      </c>
      <c r="K19" s="217">
        <v>6686</v>
      </c>
      <c r="L19" s="217">
        <v>9381</v>
      </c>
      <c r="M19" s="217">
        <v>12668</v>
      </c>
      <c r="N19" s="177">
        <f t="shared" si="0"/>
        <v>79176</v>
      </c>
    </row>
    <row r="20" spans="1:14">
      <c r="A20" s="25" t="s">
        <v>80</v>
      </c>
      <c r="B20" s="217">
        <v>1625</v>
      </c>
      <c r="C20" s="217">
        <v>2949</v>
      </c>
      <c r="D20" s="217">
        <v>1229</v>
      </c>
      <c r="E20" s="217">
        <v>501</v>
      </c>
      <c r="F20" s="217">
        <v>896</v>
      </c>
      <c r="G20" s="217">
        <v>48</v>
      </c>
      <c r="H20" s="217">
        <v>60</v>
      </c>
      <c r="I20" s="217">
        <v>2</v>
      </c>
      <c r="J20" s="217">
        <v>77</v>
      </c>
      <c r="K20" s="217">
        <v>127</v>
      </c>
      <c r="L20" s="217">
        <v>79</v>
      </c>
      <c r="M20" s="217">
        <v>1254</v>
      </c>
      <c r="N20" s="177">
        <f t="shared" si="0"/>
        <v>8847</v>
      </c>
    </row>
    <row r="21" spans="1:14">
      <c r="A21" s="25" t="s">
        <v>81</v>
      </c>
      <c r="B21" s="217">
        <v>43755</v>
      </c>
      <c r="C21" s="217">
        <v>34960</v>
      </c>
      <c r="D21" s="217">
        <v>35600</v>
      </c>
      <c r="E21" s="217">
        <v>22439</v>
      </c>
      <c r="F21" s="217">
        <v>1864</v>
      </c>
      <c r="G21" s="217">
        <v>1390</v>
      </c>
      <c r="H21" s="217">
        <v>1609</v>
      </c>
      <c r="I21" s="217">
        <v>1153</v>
      </c>
      <c r="J21" s="217">
        <v>2770</v>
      </c>
      <c r="K21" s="217">
        <v>14694</v>
      </c>
      <c r="L21" s="217">
        <v>24150</v>
      </c>
      <c r="M21" s="217">
        <v>27869</v>
      </c>
      <c r="N21" s="177">
        <f t="shared" si="0"/>
        <v>212253</v>
      </c>
    </row>
    <row r="22" spans="1:14">
      <c r="A22" s="25" t="s">
        <v>23</v>
      </c>
      <c r="B22" s="217">
        <v>43574</v>
      </c>
      <c r="C22" s="217">
        <v>55602</v>
      </c>
      <c r="D22" s="217">
        <v>40832</v>
      </c>
      <c r="E22" s="217">
        <v>40104</v>
      </c>
      <c r="F22" s="230">
        <f>23745+7323</f>
        <v>31068</v>
      </c>
      <c r="G22" s="230">
        <v>8977</v>
      </c>
      <c r="H22" s="230">
        <v>8587</v>
      </c>
      <c r="I22" s="230">
        <v>9088</v>
      </c>
      <c r="J22" s="230">
        <v>10037</v>
      </c>
      <c r="K22" s="230">
        <v>23912</v>
      </c>
      <c r="L22" s="230">
        <v>32008</v>
      </c>
      <c r="M22" s="230">
        <v>41350</v>
      </c>
      <c r="N22" s="177">
        <f t="shared" si="0"/>
        <v>345139</v>
      </c>
    </row>
    <row r="23" spans="1:14">
      <c r="A23" s="25" t="s">
        <v>82</v>
      </c>
      <c r="B23" s="107">
        <v>21411</v>
      </c>
      <c r="C23" s="107">
        <v>25042</v>
      </c>
      <c r="D23" s="107">
        <v>18529</v>
      </c>
      <c r="E23" s="107">
        <v>29991</v>
      </c>
      <c r="F23" s="178">
        <v>23362</v>
      </c>
      <c r="G23" s="178">
        <f>7300+11411</f>
        <v>18711</v>
      </c>
      <c r="H23" s="178">
        <v>14017</v>
      </c>
      <c r="I23" s="178">
        <v>23303</v>
      </c>
      <c r="J23" s="178">
        <v>20598</v>
      </c>
      <c r="K23" s="178">
        <v>33620</v>
      </c>
      <c r="L23" s="178">
        <v>46322</v>
      </c>
      <c r="M23" s="178">
        <v>51214</v>
      </c>
      <c r="N23" s="177">
        <f t="shared" si="0"/>
        <v>326120</v>
      </c>
    </row>
    <row r="24" spans="1:14" ht="15.75" thickBot="1">
      <c r="A24" s="104" t="s">
        <v>24</v>
      </c>
      <c r="B24" s="231">
        <v>29016</v>
      </c>
      <c r="C24" s="156">
        <v>21212</v>
      </c>
      <c r="D24" s="156">
        <v>18863</v>
      </c>
      <c r="E24" s="156">
        <v>17334</v>
      </c>
      <c r="F24" s="156">
        <v>9283</v>
      </c>
      <c r="G24" s="156">
        <v>9623</v>
      </c>
      <c r="H24" s="156">
        <v>5615</v>
      </c>
      <c r="I24" s="156">
        <v>7122</v>
      </c>
      <c r="J24" s="156">
        <v>9995</v>
      </c>
      <c r="K24" s="156">
        <v>16629</v>
      </c>
      <c r="L24" s="156">
        <v>20436</v>
      </c>
      <c r="M24" s="156">
        <v>24082</v>
      </c>
      <c r="N24" s="180">
        <f t="shared" si="0"/>
        <v>189210</v>
      </c>
    </row>
    <row r="25" spans="1:14" ht="16.5" thickTop="1" thickBot="1">
      <c r="A25" s="84" t="s">
        <v>45</v>
      </c>
      <c r="B25" s="218">
        <f t="shared" ref="B25:N25" si="1">SUM(B4:B24)</f>
        <v>454417</v>
      </c>
      <c r="C25" s="218">
        <f t="shared" si="1"/>
        <v>466912</v>
      </c>
      <c r="D25" s="218">
        <f t="shared" si="1"/>
        <v>383886</v>
      </c>
      <c r="E25" s="218">
        <f t="shared" si="1"/>
        <v>321023</v>
      </c>
      <c r="F25" s="218">
        <f t="shared" si="1"/>
        <v>198987.63572999998</v>
      </c>
      <c r="G25" s="218">
        <f t="shared" si="1"/>
        <v>84920</v>
      </c>
      <c r="H25" s="218">
        <f t="shared" si="1"/>
        <v>48720</v>
      </c>
      <c r="I25" s="218">
        <f t="shared" si="1"/>
        <v>58864</v>
      </c>
      <c r="J25" s="218">
        <f t="shared" si="1"/>
        <v>90659</v>
      </c>
      <c r="K25" s="218">
        <f t="shared" si="1"/>
        <v>204173</v>
      </c>
      <c r="L25" s="218">
        <f t="shared" si="1"/>
        <v>290265</v>
      </c>
      <c r="M25" s="218">
        <f t="shared" si="1"/>
        <v>605566</v>
      </c>
      <c r="N25" s="219">
        <f t="shared" si="1"/>
        <v>3208392.6357300002</v>
      </c>
    </row>
    <row r="26" spans="1:14">
      <c r="A26" s="6"/>
      <c r="B26" s="182"/>
      <c r="C26" s="182"/>
      <c r="D26" s="182"/>
      <c r="E26" s="182"/>
      <c r="F26" s="182"/>
      <c r="G26" s="182"/>
      <c r="H26" s="182"/>
      <c r="I26" s="182"/>
      <c r="J26" s="182"/>
      <c r="K26" s="182"/>
      <c r="L26" s="182"/>
      <c r="M26" s="182"/>
      <c r="N26" s="182"/>
    </row>
    <row r="27" spans="1:14" ht="15.75" thickBot="1">
      <c r="A27" s="6" t="s">
        <v>15</v>
      </c>
      <c r="B27" s="182"/>
      <c r="C27" s="182"/>
      <c r="D27" s="182"/>
      <c r="E27" s="182"/>
      <c r="F27" s="182"/>
      <c r="G27" s="182"/>
      <c r="H27" s="182"/>
      <c r="I27" s="182"/>
      <c r="J27" s="182"/>
      <c r="K27" s="182"/>
      <c r="L27" s="182"/>
      <c r="M27" s="182"/>
      <c r="N27" s="182"/>
    </row>
    <row r="28" spans="1:14">
      <c r="A28" s="5" t="s">
        <v>85</v>
      </c>
      <c r="B28" s="222">
        <v>0</v>
      </c>
      <c r="C28" s="222">
        <v>2242</v>
      </c>
      <c r="D28" s="222">
        <v>1415</v>
      </c>
      <c r="E28" s="222">
        <v>1621</v>
      </c>
      <c r="F28" s="222">
        <v>362</v>
      </c>
      <c r="G28" s="222">
        <v>132</v>
      </c>
      <c r="H28" s="222">
        <v>245</v>
      </c>
      <c r="I28" s="222">
        <v>20</v>
      </c>
      <c r="J28" s="222">
        <v>315</v>
      </c>
      <c r="K28" s="222">
        <v>364</v>
      </c>
      <c r="L28" s="222">
        <v>726</v>
      </c>
      <c r="M28" s="222">
        <v>1435</v>
      </c>
      <c r="N28" s="176">
        <f t="shared" ref="N28:N33" si="2">SUM(B28:M28)</f>
        <v>8877</v>
      </c>
    </row>
    <row r="29" spans="1:14">
      <c r="A29" s="3" t="s">
        <v>86</v>
      </c>
      <c r="B29" s="109">
        <v>1698</v>
      </c>
      <c r="C29" s="109">
        <v>1413</v>
      </c>
      <c r="D29" s="109">
        <v>894</v>
      </c>
      <c r="E29" s="109">
        <v>612</v>
      </c>
      <c r="F29" s="109">
        <v>506</v>
      </c>
      <c r="G29" s="109">
        <v>46</v>
      </c>
      <c r="H29" s="109">
        <v>47</v>
      </c>
      <c r="I29" s="109">
        <v>7</v>
      </c>
      <c r="J29" s="109">
        <v>84</v>
      </c>
      <c r="K29" s="109">
        <v>177</v>
      </c>
      <c r="L29" s="109">
        <v>539</v>
      </c>
      <c r="M29" s="109">
        <v>893</v>
      </c>
      <c r="N29" s="177">
        <f t="shared" si="2"/>
        <v>6916</v>
      </c>
    </row>
    <row r="30" spans="1:14">
      <c r="A30" s="3" t="s">
        <v>87</v>
      </c>
      <c r="B30" s="109">
        <v>3174</v>
      </c>
      <c r="C30" s="109">
        <v>2965</v>
      </c>
      <c r="D30" s="109">
        <v>2299</v>
      </c>
      <c r="E30" s="109">
        <v>1328</v>
      </c>
      <c r="F30" s="109">
        <v>1213</v>
      </c>
      <c r="G30" s="109">
        <v>96</v>
      </c>
      <c r="H30" s="109">
        <v>28</v>
      </c>
      <c r="I30" s="109">
        <v>14</v>
      </c>
      <c r="J30" s="109">
        <v>0</v>
      </c>
      <c r="K30" s="109">
        <v>545</v>
      </c>
      <c r="L30" s="109">
        <v>1449</v>
      </c>
      <c r="M30" s="109">
        <v>2110</v>
      </c>
      <c r="N30" s="177">
        <f t="shared" si="2"/>
        <v>15221</v>
      </c>
    </row>
    <row r="31" spans="1:14">
      <c r="A31" s="3" t="s">
        <v>88</v>
      </c>
      <c r="B31" s="109">
        <v>2078</v>
      </c>
      <c r="C31" s="109">
        <v>2063</v>
      </c>
      <c r="D31" s="109">
        <v>948</v>
      </c>
      <c r="E31" s="109">
        <v>1077</v>
      </c>
      <c r="F31" s="109">
        <v>290</v>
      </c>
      <c r="G31" s="109">
        <v>81</v>
      </c>
      <c r="H31" s="109">
        <v>10</v>
      </c>
      <c r="I31" s="109">
        <v>12</v>
      </c>
      <c r="J31" s="109">
        <v>0</v>
      </c>
      <c r="K31" s="109">
        <v>403</v>
      </c>
      <c r="L31" s="109">
        <v>507</v>
      </c>
      <c r="M31" s="109">
        <v>1291</v>
      </c>
      <c r="N31" s="177">
        <f t="shared" si="2"/>
        <v>8760</v>
      </c>
    </row>
    <row r="32" spans="1:14">
      <c r="A32" s="3" t="s">
        <v>89</v>
      </c>
      <c r="B32" s="109">
        <v>810</v>
      </c>
      <c r="C32" s="109">
        <v>992</v>
      </c>
      <c r="D32" s="109">
        <v>563</v>
      </c>
      <c r="E32" s="109">
        <v>494</v>
      </c>
      <c r="F32" s="109">
        <v>245</v>
      </c>
      <c r="G32" s="109">
        <v>36</v>
      </c>
      <c r="H32" s="109">
        <v>48</v>
      </c>
      <c r="I32" s="109">
        <v>5</v>
      </c>
      <c r="J32" s="109">
        <v>1</v>
      </c>
      <c r="K32" s="109">
        <v>145</v>
      </c>
      <c r="L32" s="109">
        <v>416</v>
      </c>
      <c r="M32" s="109">
        <v>599</v>
      </c>
      <c r="N32" s="177">
        <f t="shared" si="2"/>
        <v>4354</v>
      </c>
    </row>
    <row r="33" spans="1:14" ht="15.75" thickBot="1">
      <c r="A33" s="3" t="s">
        <v>90</v>
      </c>
      <c r="B33" s="223">
        <v>288</v>
      </c>
      <c r="C33" s="223">
        <v>514</v>
      </c>
      <c r="D33" s="223">
        <v>359</v>
      </c>
      <c r="E33" s="223">
        <v>388</v>
      </c>
      <c r="F33" s="223">
        <v>357</v>
      </c>
      <c r="G33" s="223">
        <v>253</v>
      </c>
      <c r="H33" s="223">
        <v>155</v>
      </c>
      <c r="I33" s="223">
        <v>242</v>
      </c>
      <c r="J33" s="223">
        <v>240</v>
      </c>
      <c r="K33" s="223">
        <v>322</v>
      </c>
      <c r="L33" s="223">
        <v>330</v>
      </c>
      <c r="M33" s="223">
        <v>244</v>
      </c>
      <c r="N33" s="180">
        <f t="shared" si="2"/>
        <v>3692</v>
      </c>
    </row>
    <row r="34" spans="1:14" ht="16.5" thickTop="1" thickBot="1">
      <c r="A34" s="84" t="s">
        <v>46</v>
      </c>
      <c r="B34" s="218">
        <f>SUM(B28:B33)</f>
        <v>8048</v>
      </c>
      <c r="C34" s="218">
        <f t="shared" ref="C34:N34" si="3">SUM(C28:C33)</f>
        <v>10189</v>
      </c>
      <c r="D34" s="218">
        <f t="shared" si="3"/>
        <v>6478</v>
      </c>
      <c r="E34" s="218">
        <f t="shared" si="3"/>
        <v>5520</v>
      </c>
      <c r="F34" s="218">
        <f t="shared" si="3"/>
        <v>2973</v>
      </c>
      <c r="G34" s="218">
        <f t="shared" si="3"/>
        <v>644</v>
      </c>
      <c r="H34" s="218">
        <f t="shared" si="3"/>
        <v>533</v>
      </c>
      <c r="I34" s="218">
        <f t="shared" si="3"/>
        <v>300</v>
      </c>
      <c r="J34" s="218">
        <f t="shared" si="3"/>
        <v>640</v>
      </c>
      <c r="K34" s="218">
        <f t="shared" si="3"/>
        <v>1956</v>
      </c>
      <c r="L34" s="218">
        <f t="shared" si="3"/>
        <v>3967</v>
      </c>
      <c r="M34" s="218">
        <f t="shared" si="3"/>
        <v>6572</v>
      </c>
      <c r="N34" s="219">
        <f t="shared" si="3"/>
        <v>47820</v>
      </c>
    </row>
    <row r="35" spans="1:14" ht="15.75" thickBot="1">
      <c r="A35" s="6"/>
      <c r="B35" s="182"/>
      <c r="C35" s="182"/>
      <c r="D35" s="182"/>
      <c r="E35" s="182"/>
      <c r="F35" s="182"/>
      <c r="G35" s="182"/>
      <c r="H35" s="182"/>
      <c r="I35" s="182"/>
      <c r="J35" s="182"/>
      <c r="K35" s="182"/>
      <c r="L35" s="182"/>
      <c r="M35" s="182"/>
      <c r="N35" s="182"/>
    </row>
    <row r="36" spans="1:14" ht="15.75" thickBot="1">
      <c r="A36" s="93" t="s">
        <v>20</v>
      </c>
      <c r="B36" s="227">
        <f>(29113/329*31)</f>
        <v>2743.1702127659573</v>
      </c>
      <c r="C36" s="227">
        <f>(29113/329*28)</f>
        <v>2477.7021276595742</v>
      </c>
      <c r="D36" s="227">
        <f>(29113/329*31)</f>
        <v>2743.1702127659573</v>
      </c>
      <c r="E36" s="227">
        <f>(29113/329*30)</f>
        <v>2654.6808510638298</v>
      </c>
      <c r="F36" s="227">
        <f>(29113/329*31)</f>
        <v>2743.1702127659573</v>
      </c>
      <c r="G36" s="227">
        <f>(29113/329*30)</f>
        <v>2654.6808510638298</v>
      </c>
      <c r="H36" s="227">
        <f>(29113/329*6)+83</f>
        <v>613.93617021276589</v>
      </c>
      <c r="I36" s="227">
        <v>353</v>
      </c>
      <c r="J36" s="227">
        <v>772</v>
      </c>
      <c r="K36" s="227">
        <v>4370</v>
      </c>
      <c r="L36" s="227">
        <v>3556</v>
      </c>
      <c r="M36" s="227">
        <f>21814</f>
        <v>21814</v>
      </c>
      <c r="N36" s="228">
        <f>SUM(B36:M36)</f>
        <v>47495.51063829787</v>
      </c>
    </row>
    <row r="37" spans="1:14" ht="15.75" thickBot="1">
      <c r="A37" s="17"/>
      <c r="B37" s="159"/>
      <c r="C37" s="159"/>
      <c r="D37" s="159"/>
      <c r="E37" s="159"/>
      <c r="F37" s="159"/>
      <c r="G37" s="159"/>
      <c r="H37" s="159"/>
      <c r="I37" s="159"/>
      <c r="J37" s="159"/>
      <c r="K37" s="159"/>
      <c r="L37" s="159"/>
      <c r="M37" s="159"/>
      <c r="N37" s="159"/>
    </row>
    <row r="38" spans="1:14" ht="15.75" thickBot="1">
      <c r="A38" s="85" t="s">
        <v>61</v>
      </c>
      <c r="B38" s="224">
        <f>B25+B34+B36</f>
        <v>465208.17021276598</v>
      </c>
      <c r="C38" s="224">
        <f t="shared" ref="C38:N38" si="4">C25+C34+C36</f>
        <v>479578.70212765958</v>
      </c>
      <c r="D38" s="224">
        <f t="shared" si="4"/>
        <v>393107.17021276598</v>
      </c>
      <c r="E38" s="224">
        <f t="shared" si="4"/>
        <v>329197.68085106381</v>
      </c>
      <c r="F38" s="224">
        <f t="shared" si="4"/>
        <v>204703.80594276593</v>
      </c>
      <c r="G38" s="224">
        <f t="shared" si="4"/>
        <v>88218.680851063837</v>
      </c>
      <c r="H38" s="224">
        <f t="shared" si="4"/>
        <v>49866.936170212764</v>
      </c>
      <c r="I38" s="224">
        <f t="shared" si="4"/>
        <v>59517</v>
      </c>
      <c r="J38" s="224">
        <f t="shared" si="4"/>
        <v>92071</v>
      </c>
      <c r="K38" s="224">
        <f t="shared" si="4"/>
        <v>210499</v>
      </c>
      <c r="L38" s="224">
        <f t="shared" si="4"/>
        <v>297788</v>
      </c>
      <c r="M38" s="224">
        <f t="shared" si="4"/>
        <v>633952</v>
      </c>
      <c r="N38" s="224">
        <f t="shared" si="4"/>
        <v>3303708.1463682982</v>
      </c>
    </row>
    <row r="39" spans="1:14">
      <c r="A39" s="17"/>
      <c r="B39" s="17"/>
      <c r="C39" s="17"/>
      <c r="D39" s="17"/>
      <c r="E39" s="17"/>
      <c r="F39" s="17"/>
      <c r="G39" s="17"/>
      <c r="H39" s="17"/>
      <c r="I39" s="17"/>
      <c r="J39" s="17"/>
      <c r="K39" s="17"/>
      <c r="L39" s="17"/>
      <c r="M39" s="17"/>
      <c r="N39" s="17"/>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8"/>
  <sheetViews>
    <sheetView showGridLines="0" workbookViewId="0">
      <selection activeCell="N23" sqref="N23"/>
    </sheetView>
  </sheetViews>
  <sheetFormatPr defaultColWidth="8.85546875" defaultRowHeight="15"/>
  <cols>
    <col min="1" max="1" width="27.140625" customWidth="1"/>
    <col min="5" max="5" width="9" customWidth="1"/>
    <col min="7" max="7" width="10.42578125" customWidth="1"/>
    <col min="8" max="8" width="10.7109375" customWidth="1"/>
    <col min="9" max="9" width="10.85546875" customWidth="1"/>
    <col min="10" max="10" width="11.42578125" customWidth="1"/>
    <col min="14" max="14" width="11.85546875" customWidth="1"/>
  </cols>
  <sheetData>
    <row r="1" spans="1:14" ht="17.25" thickBot="1">
      <c r="A1" s="82" t="s">
        <v>0</v>
      </c>
      <c r="B1" s="90">
        <v>40909</v>
      </c>
      <c r="C1" s="90">
        <v>40940</v>
      </c>
      <c r="D1" s="90">
        <v>40969</v>
      </c>
      <c r="E1" s="90">
        <v>41000</v>
      </c>
      <c r="F1" s="90">
        <v>41030</v>
      </c>
      <c r="G1" s="90">
        <v>41061</v>
      </c>
      <c r="H1" s="90">
        <v>41091</v>
      </c>
      <c r="I1" s="90">
        <v>41122</v>
      </c>
      <c r="J1" s="90">
        <v>41153</v>
      </c>
      <c r="K1" s="90">
        <v>41183</v>
      </c>
      <c r="L1" s="90">
        <v>41214</v>
      </c>
      <c r="M1" s="90">
        <v>41244</v>
      </c>
      <c r="N1" s="9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
      <c r="A4" s="100" t="s">
        <v>91</v>
      </c>
      <c r="B4" s="184">
        <v>144071</v>
      </c>
      <c r="C4" s="184">
        <v>146625</v>
      </c>
      <c r="D4" s="184">
        <v>78228</v>
      </c>
      <c r="E4" s="184">
        <v>66742</v>
      </c>
      <c r="F4" s="184">
        <v>21707</v>
      </c>
      <c r="G4" s="184">
        <v>7987</v>
      </c>
      <c r="H4" s="184">
        <v>8083</v>
      </c>
      <c r="I4" s="184">
        <v>14636</v>
      </c>
      <c r="J4" s="184">
        <v>35778</v>
      </c>
      <c r="K4" s="184">
        <v>81999</v>
      </c>
      <c r="L4" s="184">
        <v>109186</v>
      </c>
      <c r="M4" s="184">
        <f>156930/33*23</f>
        <v>109375.45454545453</v>
      </c>
      <c r="N4" s="176">
        <f>SUM(B4:M4)</f>
        <v>824417.45454545459</v>
      </c>
    </row>
    <row r="5" spans="1:14">
      <c r="A5" s="101" t="s">
        <v>21</v>
      </c>
      <c r="B5" s="178">
        <v>40419</v>
      </c>
      <c r="C5" s="178">
        <v>43647</v>
      </c>
      <c r="D5" s="178">
        <v>28046</v>
      </c>
      <c r="E5" s="178">
        <v>20466</v>
      </c>
      <c r="F5" s="178">
        <v>1585</v>
      </c>
      <c r="G5" s="178">
        <v>773</v>
      </c>
      <c r="H5" s="178">
        <v>753</v>
      </c>
      <c r="I5" s="178">
        <v>1214</v>
      </c>
      <c r="J5" s="178">
        <v>5742</v>
      </c>
      <c r="K5" s="178">
        <v>27289</v>
      </c>
      <c r="L5" s="178">
        <v>34904</v>
      </c>
      <c r="M5" s="178">
        <f>47481/33*23</f>
        <v>33092.818181818184</v>
      </c>
      <c r="N5" s="177">
        <f t="shared" ref="N5:N25" si="0">SUM(B5:M5)</f>
        <v>237930.81818181818</v>
      </c>
    </row>
    <row r="6" spans="1:14">
      <c r="A6" s="83" t="s">
        <v>92</v>
      </c>
      <c r="B6" s="178">
        <v>1894</v>
      </c>
      <c r="C6" s="178">
        <v>1816</v>
      </c>
      <c r="D6" s="178">
        <v>2765</v>
      </c>
      <c r="E6" s="109">
        <v>1670</v>
      </c>
      <c r="F6" s="178">
        <v>2497</v>
      </c>
      <c r="G6" s="178">
        <v>1306</v>
      </c>
      <c r="H6" s="178">
        <v>910</v>
      </c>
      <c r="I6" s="178">
        <v>1159</v>
      </c>
      <c r="J6" s="178">
        <v>761</v>
      </c>
      <c r="K6" s="178">
        <v>1815</v>
      </c>
      <c r="L6" s="178">
        <v>1701</v>
      </c>
      <c r="M6" s="178">
        <f>1516</f>
        <v>1516</v>
      </c>
      <c r="N6" s="177">
        <f t="shared" si="0"/>
        <v>19810</v>
      </c>
    </row>
    <row r="7" spans="1:14">
      <c r="A7" s="83" t="s">
        <v>2</v>
      </c>
      <c r="B7" s="178">
        <v>9344</v>
      </c>
      <c r="C7" s="178">
        <v>10776</v>
      </c>
      <c r="D7" s="178">
        <v>9237</v>
      </c>
      <c r="E7" s="109">
        <v>5062</v>
      </c>
      <c r="F7" s="178">
        <v>4530</v>
      </c>
      <c r="G7" s="178">
        <v>1322</v>
      </c>
      <c r="H7" s="178">
        <v>1756</v>
      </c>
      <c r="I7" s="178">
        <v>746</v>
      </c>
      <c r="J7" s="178">
        <v>2164</v>
      </c>
      <c r="K7" s="178">
        <v>1305</v>
      </c>
      <c r="L7" s="178">
        <v>7571</v>
      </c>
      <c r="M7" s="178">
        <f>7965</f>
        <v>7965</v>
      </c>
      <c r="N7" s="177">
        <f t="shared" si="0"/>
        <v>61778</v>
      </c>
    </row>
    <row r="8" spans="1:14">
      <c r="A8" s="83" t="s">
        <v>69</v>
      </c>
      <c r="B8" s="178">
        <v>7773</v>
      </c>
      <c r="C8" s="178">
        <v>10230</v>
      </c>
      <c r="D8" s="178">
        <v>5942</v>
      </c>
      <c r="E8" s="109">
        <v>6189</v>
      </c>
      <c r="F8" s="178">
        <v>4760</v>
      </c>
      <c r="G8" s="178">
        <v>1483</v>
      </c>
      <c r="H8" s="178">
        <v>2642</v>
      </c>
      <c r="I8" s="178">
        <v>791</v>
      </c>
      <c r="J8" s="178">
        <v>554</v>
      </c>
      <c r="K8" s="178">
        <v>3534</v>
      </c>
      <c r="L8" s="178">
        <v>4426</v>
      </c>
      <c r="M8" s="178">
        <f>6885</f>
        <v>6885</v>
      </c>
      <c r="N8" s="177">
        <f t="shared" si="0"/>
        <v>55209</v>
      </c>
    </row>
    <row r="9" spans="1:14">
      <c r="A9" s="83" t="s">
        <v>70</v>
      </c>
      <c r="B9" s="178">
        <v>3879</v>
      </c>
      <c r="C9" s="178">
        <f>2580+1159</f>
        <v>3739</v>
      </c>
      <c r="D9" s="178">
        <v>2395</v>
      </c>
      <c r="E9" s="109">
        <v>1517</v>
      </c>
      <c r="F9" s="178">
        <v>3378</v>
      </c>
      <c r="G9" s="178">
        <v>1817</v>
      </c>
      <c r="H9" s="178">
        <v>1181</v>
      </c>
      <c r="I9" s="178">
        <v>740</v>
      </c>
      <c r="J9" s="178">
        <v>680</v>
      </c>
      <c r="K9" s="178">
        <v>2192</v>
      </c>
      <c r="L9" s="178">
        <v>1762</v>
      </c>
      <c r="M9" s="178">
        <f>2123</f>
        <v>2123</v>
      </c>
      <c r="N9" s="177">
        <f t="shared" si="0"/>
        <v>25403</v>
      </c>
    </row>
    <row r="10" spans="1:14">
      <c r="A10" s="83" t="s">
        <v>71</v>
      </c>
      <c r="B10" s="178">
        <v>2395</v>
      </c>
      <c r="C10" s="178">
        <v>2451</v>
      </c>
      <c r="D10" s="178">
        <v>2909</v>
      </c>
      <c r="E10" s="109">
        <v>2326</v>
      </c>
      <c r="F10" s="178">
        <v>1671</v>
      </c>
      <c r="G10" s="178">
        <v>568</v>
      </c>
      <c r="H10" s="178">
        <v>727</v>
      </c>
      <c r="I10" s="178">
        <v>640</v>
      </c>
      <c r="J10" s="178">
        <v>885</v>
      </c>
      <c r="K10" s="178">
        <v>1933</v>
      </c>
      <c r="L10" s="178">
        <v>2359</v>
      </c>
      <c r="M10" s="178">
        <f>1845</f>
        <v>1845</v>
      </c>
      <c r="N10" s="177">
        <f t="shared" si="0"/>
        <v>20709</v>
      </c>
    </row>
    <row r="11" spans="1:14">
      <c r="A11" s="83" t="s">
        <v>72</v>
      </c>
      <c r="B11" s="178">
        <v>1734</v>
      </c>
      <c r="C11" s="178">
        <v>2375</v>
      </c>
      <c r="D11" s="178">
        <v>2262</v>
      </c>
      <c r="E11" s="109">
        <v>1488</v>
      </c>
      <c r="F11" s="178">
        <v>2237</v>
      </c>
      <c r="G11" s="178">
        <v>1173</v>
      </c>
      <c r="H11" s="178">
        <v>819</v>
      </c>
      <c r="I11" s="178">
        <v>993</v>
      </c>
      <c r="J11" s="178">
        <v>1103</v>
      </c>
      <c r="K11" s="178">
        <v>1503</v>
      </c>
      <c r="L11" s="178">
        <v>2625</v>
      </c>
      <c r="M11" s="178">
        <f>1671</f>
        <v>1671</v>
      </c>
      <c r="N11" s="177">
        <f t="shared" si="0"/>
        <v>19983</v>
      </c>
    </row>
    <row r="12" spans="1:14">
      <c r="A12" s="83" t="s">
        <v>73</v>
      </c>
      <c r="B12" s="178">
        <v>3896</v>
      </c>
      <c r="C12" s="178">
        <v>4282</v>
      </c>
      <c r="D12" s="178">
        <v>2675</v>
      </c>
      <c r="E12" s="109">
        <v>2243</v>
      </c>
      <c r="F12" s="178">
        <v>1356</v>
      </c>
      <c r="G12" s="178">
        <v>390</v>
      </c>
      <c r="H12" s="178">
        <v>345</v>
      </c>
      <c r="I12" s="178">
        <v>123</v>
      </c>
      <c r="J12" s="178">
        <v>93</v>
      </c>
      <c r="K12" s="178">
        <v>1186</v>
      </c>
      <c r="L12" s="178">
        <v>2459</v>
      </c>
      <c r="M12" s="178">
        <f>3032</f>
        <v>3032</v>
      </c>
      <c r="N12" s="177">
        <f t="shared" si="0"/>
        <v>22080</v>
      </c>
    </row>
    <row r="13" spans="1:14">
      <c r="A13" s="83" t="s">
        <v>74</v>
      </c>
      <c r="B13" s="178">
        <v>13037</v>
      </c>
      <c r="C13" s="178">
        <v>23768</v>
      </c>
      <c r="D13" s="178">
        <v>21008</v>
      </c>
      <c r="E13" s="109">
        <v>11133</v>
      </c>
      <c r="F13" s="178">
        <v>7456</v>
      </c>
      <c r="G13" s="178">
        <v>3500</v>
      </c>
      <c r="H13" s="178">
        <v>2816</v>
      </c>
      <c r="I13" s="178">
        <v>2366</v>
      </c>
      <c r="J13" s="178">
        <v>1575</v>
      </c>
      <c r="K13" s="178">
        <v>4648</v>
      </c>
      <c r="L13" s="178">
        <v>9825</v>
      </c>
      <c r="M13" s="178">
        <f>13319</f>
        <v>13319</v>
      </c>
      <c r="N13" s="177">
        <f t="shared" si="0"/>
        <v>114451</v>
      </c>
    </row>
    <row r="14" spans="1:14">
      <c r="A14" s="83" t="s">
        <v>75</v>
      </c>
      <c r="B14" s="178">
        <v>9302</v>
      </c>
      <c r="C14" s="178">
        <v>8322</v>
      </c>
      <c r="D14" s="178">
        <v>8158</v>
      </c>
      <c r="E14" s="109">
        <v>5945</v>
      </c>
      <c r="F14" s="178">
        <v>1772</v>
      </c>
      <c r="G14" s="178">
        <v>1154</v>
      </c>
      <c r="H14" s="178">
        <v>619</v>
      </c>
      <c r="I14" s="178">
        <v>425</v>
      </c>
      <c r="J14" s="178">
        <v>163</v>
      </c>
      <c r="K14" s="178">
        <v>2338</v>
      </c>
      <c r="L14" s="178">
        <v>5408</v>
      </c>
      <c r="M14" s="178">
        <f>6769</f>
        <v>6769</v>
      </c>
      <c r="N14" s="177">
        <f t="shared" si="0"/>
        <v>50375</v>
      </c>
    </row>
    <row r="15" spans="1:14">
      <c r="A15" s="83" t="s">
        <v>22</v>
      </c>
      <c r="B15" s="178">
        <v>663</v>
      </c>
      <c r="C15" s="178">
        <v>390</v>
      </c>
      <c r="D15" s="178">
        <v>1180</v>
      </c>
      <c r="E15" s="109">
        <v>120</v>
      </c>
      <c r="F15" s="178">
        <v>324</v>
      </c>
      <c r="G15" s="178">
        <v>34</v>
      </c>
      <c r="H15" s="178">
        <v>86</v>
      </c>
      <c r="I15" s="178">
        <v>20</v>
      </c>
      <c r="J15" s="178">
        <v>92</v>
      </c>
      <c r="K15" s="178">
        <v>21</v>
      </c>
      <c r="L15" s="178">
        <v>196</v>
      </c>
      <c r="M15" s="178">
        <f>497</f>
        <v>497</v>
      </c>
      <c r="N15" s="177">
        <f t="shared" si="0"/>
        <v>3623</v>
      </c>
    </row>
    <row r="16" spans="1:14">
      <c r="A16" s="83" t="s">
        <v>76</v>
      </c>
      <c r="B16" s="178">
        <v>9054</v>
      </c>
      <c r="C16" s="178">
        <v>5379</v>
      </c>
      <c r="D16" s="178">
        <v>13893</v>
      </c>
      <c r="E16" s="109">
        <v>901</v>
      </c>
      <c r="F16" s="178">
        <v>7754</v>
      </c>
      <c r="G16" s="178">
        <v>1317</v>
      </c>
      <c r="H16" s="178">
        <v>9</v>
      </c>
      <c r="I16" s="178">
        <v>614</v>
      </c>
      <c r="J16" s="178">
        <v>3016</v>
      </c>
      <c r="K16" s="178">
        <v>3002</v>
      </c>
      <c r="L16" s="178">
        <v>5250</v>
      </c>
      <c r="M16" s="178">
        <f>7941</f>
        <v>7941</v>
      </c>
      <c r="N16" s="177">
        <f t="shared" si="0"/>
        <v>58130</v>
      </c>
    </row>
    <row r="17" spans="1:14">
      <c r="A17" s="83" t="s">
        <v>77</v>
      </c>
      <c r="B17" s="178">
        <v>354</v>
      </c>
      <c r="C17" s="178">
        <v>1590</v>
      </c>
      <c r="D17" s="178">
        <v>1519</v>
      </c>
      <c r="E17" s="109">
        <v>1128</v>
      </c>
      <c r="F17" s="178">
        <v>1637</v>
      </c>
      <c r="G17" s="178">
        <v>256</v>
      </c>
      <c r="H17" s="178">
        <v>391</v>
      </c>
      <c r="I17" s="178">
        <v>45</v>
      </c>
      <c r="J17" s="178">
        <v>105</v>
      </c>
      <c r="K17" s="178">
        <v>104</v>
      </c>
      <c r="L17" s="178">
        <v>101</v>
      </c>
      <c r="M17" s="178">
        <f>169</f>
        <v>169</v>
      </c>
      <c r="N17" s="177">
        <f t="shared" si="0"/>
        <v>7399</v>
      </c>
    </row>
    <row r="18" spans="1:14">
      <c r="A18" s="83" t="s">
        <v>78</v>
      </c>
      <c r="B18" s="178">
        <v>1756</v>
      </c>
      <c r="C18" s="178">
        <v>1710</v>
      </c>
      <c r="D18" s="178">
        <v>901</v>
      </c>
      <c r="E18" s="109">
        <v>786</v>
      </c>
      <c r="F18" s="178">
        <v>377</v>
      </c>
      <c r="G18" s="178">
        <v>230</v>
      </c>
      <c r="H18" s="178">
        <v>85</v>
      </c>
      <c r="I18" s="178">
        <v>141</v>
      </c>
      <c r="J18" s="178">
        <v>141</v>
      </c>
      <c r="K18" s="178">
        <v>395</v>
      </c>
      <c r="L18" s="178">
        <v>672</v>
      </c>
      <c r="M18" s="178">
        <f>1363</f>
        <v>1363</v>
      </c>
      <c r="N18" s="177">
        <f t="shared" si="0"/>
        <v>8557</v>
      </c>
    </row>
    <row r="19" spans="1:14">
      <c r="A19" s="25" t="s">
        <v>79</v>
      </c>
      <c r="B19" s="178">
        <v>12967</v>
      </c>
      <c r="C19" s="178">
        <v>12516</v>
      </c>
      <c r="D19" s="178">
        <v>8164</v>
      </c>
      <c r="E19" s="107">
        <v>5831</v>
      </c>
      <c r="F19" s="178">
        <v>517</v>
      </c>
      <c r="G19" s="178">
        <v>201</v>
      </c>
      <c r="H19" s="178">
        <v>84</v>
      </c>
      <c r="I19" s="178">
        <v>313</v>
      </c>
      <c r="J19" s="178">
        <v>1931</v>
      </c>
      <c r="K19" s="178">
        <v>9454</v>
      </c>
      <c r="L19" s="178">
        <v>10519</v>
      </c>
      <c r="M19" s="178">
        <f>12583</f>
        <v>12583</v>
      </c>
      <c r="N19" s="177">
        <f t="shared" si="0"/>
        <v>75080</v>
      </c>
    </row>
    <row r="20" spans="1:14">
      <c r="A20" s="25" t="s">
        <v>80</v>
      </c>
      <c r="B20" s="178">
        <v>1579</v>
      </c>
      <c r="C20" s="178">
        <v>2096</v>
      </c>
      <c r="D20" s="178">
        <v>1332</v>
      </c>
      <c r="E20" s="107">
        <v>646</v>
      </c>
      <c r="F20" s="178">
        <v>131</v>
      </c>
      <c r="G20" s="178">
        <v>119</v>
      </c>
      <c r="H20" s="178">
        <v>82</v>
      </c>
      <c r="I20" s="178">
        <v>44</v>
      </c>
      <c r="J20" s="178">
        <v>32</v>
      </c>
      <c r="K20" s="178">
        <v>43</v>
      </c>
      <c r="L20" s="178">
        <v>467</v>
      </c>
      <c r="M20" s="178">
        <v>599</v>
      </c>
      <c r="N20" s="177">
        <f t="shared" si="0"/>
        <v>7170</v>
      </c>
    </row>
    <row r="21" spans="1:14">
      <c r="A21" s="25" t="s">
        <v>81</v>
      </c>
      <c r="B21" s="178">
        <v>36495</v>
      </c>
      <c r="C21" s="178">
        <v>28824</v>
      </c>
      <c r="D21" s="178">
        <v>22587</v>
      </c>
      <c r="E21" s="107">
        <v>20518</v>
      </c>
      <c r="F21" s="178">
        <v>5731</v>
      </c>
      <c r="G21" s="178">
        <v>1065</v>
      </c>
      <c r="H21" s="178">
        <v>238</v>
      </c>
      <c r="I21" s="178">
        <v>1450</v>
      </c>
      <c r="J21" s="178">
        <v>2949</v>
      </c>
      <c r="K21" s="178">
        <v>16549</v>
      </c>
      <c r="L21" s="178">
        <v>27691</v>
      </c>
      <c r="M21" s="178">
        <f>35067</f>
        <v>35067</v>
      </c>
      <c r="N21" s="177">
        <f t="shared" si="0"/>
        <v>199164</v>
      </c>
    </row>
    <row r="22" spans="1:14">
      <c r="A22" s="25" t="s">
        <v>23</v>
      </c>
      <c r="B22" s="178">
        <v>50735</v>
      </c>
      <c r="C22" s="178">
        <v>38186</v>
      </c>
      <c r="D22" s="178">
        <v>28209</v>
      </c>
      <c r="E22" s="107">
        <v>25572</v>
      </c>
      <c r="F22" s="178">
        <v>14088</v>
      </c>
      <c r="G22" s="178">
        <v>6527</v>
      </c>
      <c r="H22" s="178">
        <v>5417</v>
      </c>
      <c r="I22" s="178">
        <v>4045</v>
      </c>
      <c r="J22" s="178">
        <v>10283</v>
      </c>
      <c r="K22" s="178">
        <v>20266</v>
      </c>
      <c r="L22" s="178">
        <v>36005</v>
      </c>
      <c r="M22" s="178">
        <f>44815</f>
        <v>44815</v>
      </c>
      <c r="N22" s="177">
        <f t="shared" si="0"/>
        <v>284148</v>
      </c>
    </row>
    <row r="23" spans="1:14">
      <c r="A23" s="25" t="s">
        <v>82</v>
      </c>
      <c r="B23" s="178">
        <v>61543</v>
      </c>
      <c r="C23" s="178">
        <v>46520</v>
      </c>
      <c r="D23" s="178">
        <v>37404</v>
      </c>
      <c r="E23" s="107">
        <v>35132</v>
      </c>
      <c r="F23" s="178">
        <v>22379</v>
      </c>
      <c r="G23" s="178">
        <v>14776</v>
      </c>
      <c r="H23" s="178">
        <v>14088</v>
      </c>
      <c r="I23" s="178">
        <v>14297</v>
      </c>
      <c r="J23" s="178">
        <v>19260</v>
      </c>
      <c r="K23" s="178">
        <v>31566</v>
      </c>
      <c r="L23" s="178">
        <v>45520</v>
      </c>
      <c r="M23" s="178">
        <f>52313</f>
        <v>52313</v>
      </c>
      <c r="N23" s="177">
        <f t="shared" si="0"/>
        <v>394798</v>
      </c>
    </row>
    <row r="24" spans="1:14" ht="15.75" thickBot="1">
      <c r="A24" s="104" t="s">
        <v>24</v>
      </c>
      <c r="B24" s="179">
        <v>29577</v>
      </c>
      <c r="C24" s="179">
        <v>20985</v>
      </c>
      <c r="D24" s="179">
        <v>16779</v>
      </c>
      <c r="E24" s="156">
        <v>10413</v>
      </c>
      <c r="F24" s="179">
        <v>10014</v>
      </c>
      <c r="G24" s="179">
        <v>6604</v>
      </c>
      <c r="H24" s="179">
        <v>5260</v>
      </c>
      <c r="I24" s="179">
        <v>5082</v>
      </c>
      <c r="J24" s="179">
        <v>6799</v>
      </c>
      <c r="K24" s="179">
        <v>14663</v>
      </c>
      <c r="L24" s="179">
        <v>21022</v>
      </c>
      <c r="M24" s="179">
        <f>24509</f>
        <v>24509</v>
      </c>
      <c r="N24" s="180">
        <f t="shared" si="0"/>
        <v>171707</v>
      </c>
    </row>
    <row r="25" spans="1:14" ht="16.5" thickTop="1" thickBot="1">
      <c r="A25" s="84" t="s">
        <v>45</v>
      </c>
      <c r="B25" s="218">
        <f t="shared" ref="B25:M25" si="1">SUM(B4:B24)</f>
        <v>442467</v>
      </c>
      <c r="C25" s="218">
        <f t="shared" si="1"/>
        <v>416227</v>
      </c>
      <c r="D25" s="218">
        <f t="shared" si="1"/>
        <v>295593</v>
      </c>
      <c r="E25" s="218">
        <f t="shared" si="1"/>
        <v>225828</v>
      </c>
      <c r="F25" s="218">
        <f t="shared" si="1"/>
        <v>115901</v>
      </c>
      <c r="G25" s="218">
        <f t="shared" si="1"/>
        <v>52602</v>
      </c>
      <c r="H25" s="218">
        <f t="shared" si="1"/>
        <v>46391</v>
      </c>
      <c r="I25" s="218">
        <f t="shared" si="1"/>
        <v>49884</v>
      </c>
      <c r="J25" s="218">
        <f t="shared" si="1"/>
        <v>94106</v>
      </c>
      <c r="K25" s="218">
        <f t="shared" si="1"/>
        <v>225805</v>
      </c>
      <c r="L25" s="218">
        <f t="shared" si="1"/>
        <v>329669</v>
      </c>
      <c r="M25" s="218">
        <f t="shared" si="1"/>
        <v>367449.27272727271</v>
      </c>
      <c r="N25" s="219">
        <f t="shared" si="0"/>
        <v>2661922.2727272725</v>
      </c>
    </row>
    <row r="26" spans="1:14">
      <c r="A26" s="6"/>
      <c r="B26" s="182"/>
      <c r="C26" s="182"/>
      <c r="D26" s="182"/>
      <c r="E26" s="182"/>
      <c r="F26" s="182"/>
      <c r="G26" s="182"/>
      <c r="H26" s="182"/>
      <c r="I26" s="182"/>
      <c r="J26" s="182"/>
      <c r="K26" s="182"/>
      <c r="L26" s="182"/>
      <c r="M26" s="182"/>
      <c r="N26" s="183"/>
    </row>
    <row r="27" spans="1:14" ht="15.75" thickBot="1">
      <c r="A27" s="6" t="s">
        <v>15</v>
      </c>
      <c r="B27" s="182"/>
      <c r="C27" s="182"/>
      <c r="D27" s="182"/>
      <c r="E27" s="182"/>
      <c r="F27" s="182"/>
      <c r="G27" s="182"/>
      <c r="H27" s="182"/>
      <c r="I27" s="182"/>
      <c r="J27" s="182"/>
      <c r="K27" s="182"/>
      <c r="L27" s="182"/>
      <c r="M27" s="182"/>
      <c r="N27" s="183"/>
    </row>
    <row r="28" spans="1:14">
      <c r="A28" s="5" t="s">
        <v>85</v>
      </c>
      <c r="B28" s="222">
        <v>1410</v>
      </c>
      <c r="C28" s="222">
        <v>1941</v>
      </c>
      <c r="D28" s="222">
        <v>991</v>
      </c>
      <c r="E28" s="222">
        <v>1109</v>
      </c>
      <c r="F28" s="222">
        <v>303</v>
      </c>
      <c r="G28" s="222">
        <v>239</v>
      </c>
      <c r="H28" s="222">
        <v>0</v>
      </c>
      <c r="I28" s="222">
        <v>179</v>
      </c>
      <c r="J28" s="222">
        <v>0</v>
      </c>
      <c r="K28" s="222">
        <v>570</v>
      </c>
      <c r="L28" s="222">
        <v>907</v>
      </c>
      <c r="M28" s="184">
        <v>1244</v>
      </c>
      <c r="N28" s="176">
        <f t="shared" ref="N28:N33" si="2">SUM(B28:M28)</f>
        <v>8893</v>
      </c>
    </row>
    <row r="29" spans="1:14">
      <c r="A29" s="3" t="s">
        <v>86</v>
      </c>
      <c r="B29" s="109">
        <v>964</v>
      </c>
      <c r="C29" s="109">
        <v>1219</v>
      </c>
      <c r="D29" s="109">
        <v>425</v>
      </c>
      <c r="E29" s="109">
        <v>493</v>
      </c>
      <c r="F29" s="109">
        <v>171</v>
      </c>
      <c r="G29" s="109">
        <v>90</v>
      </c>
      <c r="H29" s="109">
        <v>76</v>
      </c>
      <c r="I29" s="109">
        <v>52</v>
      </c>
      <c r="J29" s="109" t="s">
        <v>26</v>
      </c>
      <c r="K29" s="109">
        <v>365</v>
      </c>
      <c r="L29" s="109">
        <v>491</v>
      </c>
      <c r="M29" s="178">
        <f>805</f>
        <v>805</v>
      </c>
      <c r="N29" s="177">
        <f t="shared" si="2"/>
        <v>5151</v>
      </c>
    </row>
    <row r="30" spans="1:14">
      <c r="A30" s="3" t="s">
        <v>87</v>
      </c>
      <c r="B30" s="109">
        <v>2481</v>
      </c>
      <c r="C30" s="109">
        <v>2795</v>
      </c>
      <c r="D30" s="109">
        <v>1478</v>
      </c>
      <c r="E30" s="109">
        <v>1422</v>
      </c>
      <c r="F30" s="109">
        <v>545</v>
      </c>
      <c r="G30" s="109">
        <v>116</v>
      </c>
      <c r="H30" s="109">
        <v>0</v>
      </c>
      <c r="I30" s="109">
        <v>14</v>
      </c>
      <c r="J30" s="109">
        <v>0</v>
      </c>
      <c r="K30" s="109">
        <v>1003</v>
      </c>
      <c r="L30" s="109">
        <v>1147</v>
      </c>
      <c r="M30" s="178">
        <v>1987</v>
      </c>
      <c r="N30" s="177">
        <f t="shared" si="2"/>
        <v>12988</v>
      </c>
    </row>
    <row r="31" spans="1:14">
      <c r="A31" s="3" t="s">
        <v>88</v>
      </c>
      <c r="B31" s="109">
        <v>1446</v>
      </c>
      <c r="C31" s="109">
        <v>1598</v>
      </c>
      <c r="D31" s="109">
        <v>984</v>
      </c>
      <c r="E31" s="109">
        <v>765</v>
      </c>
      <c r="F31" s="109">
        <v>404</v>
      </c>
      <c r="G31" s="109">
        <v>61</v>
      </c>
      <c r="H31" s="109">
        <v>0</v>
      </c>
      <c r="I31" s="109">
        <v>8</v>
      </c>
      <c r="J31" s="109">
        <v>0</v>
      </c>
      <c r="K31" s="109">
        <v>458</v>
      </c>
      <c r="L31" s="109">
        <v>876</v>
      </c>
      <c r="M31" s="178">
        <v>1185</v>
      </c>
      <c r="N31" s="177">
        <f t="shared" si="2"/>
        <v>7785</v>
      </c>
    </row>
    <row r="32" spans="1:14">
      <c r="A32" s="3" t="s">
        <v>89</v>
      </c>
      <c r="B32" s="109">
        <v>702</v>
      </c>
      <c r="C32" s="109">
        <v>826</v>
      </c>
      <c r="D32" s="109">
        <v>476</v>
      </c>
      <c r="E32" s="109">
        <v>413</v>
      </c>
      <c r="F32" s="109">
        <v>168</v>
      </c>
      <c r="G32" s="107">
        <v>37</v>
      </c>
      <c r="H32" s="107">
        <v>30</v>
      </c>
      <c r="I32" s="107">
        <v>5</v>
      </c>
      <c r="J32" s="107">
        <v>35</v>
      </c>
      <c r="K32" s="109">
        <v>283</v>
      </c>
      <c r="L32" s="109">
        <v>350</v>
      </c>
      <c r="M32" s="178">
        <v>563</v>
      </c>
      <c r="N32" s="177">
        <f t="shared" si="2"/>
        <v>3888</v>
      </c>
    </row>
    <row r="33" spans="1:14" ht="15.75" thickBot="1">
      <c r="A33" s="3" t="s">
        <v>90</v>
      </c>
      <c r="B33" s="223">
        <v>511</v>
      </c>
      <c r="C33" s="223">
        <v>505</v>
      </c>
      <c r="D33" s="223">
        <v>517</v>
      </c>
      <c r="E33" s="223">
        <v>424</v>
      </c>
      <c r="F33" s="223">
        <v>275</v>
      </c>
      <c r="G33" s="223">
        <v>198</v>
      </c>
      <c r="H33" s="223">
        <v>169</v>
      </c>
      <c r="I33" s="223">
        <v>242</v>
      </c>
      <c r="J33" s="223">
        <v>283</v>
      </c>
      <c r="K33" s="223">
        <v>372</v>
      </c>
      <c r="L33" s="223">
        <v>413</v>
      </c>
      <c r="M33" s="179">
        <v>354</v>
      </c>
      <c r="N33" s="180">
        <f t="shared" si="2"/>
        <v>4263</v>
      </c>
    </row>
    <row r="34" spans="1:14" ht="16.5" thickTop="1" thickBot="1">
      <c r="A34" s="84" t="s">
        <v>46</v>
      </c>
      <c r="B34" s="218">
        <f>SUM(B28:B33)</f>
        <v>7514</v>
      </c>
      <c r="C34" s="218">
        <f t="shared" ref="C34:L34" si="3">SUM(C28:C33)</f>
        <v>8884</v>
      </c>
      <c r="D34" s="218">
        <f t="shared" si="3"/>
        <v>4871</v>
      </c>
      <c r="E34" s="218">
        <f t="shared" si="3"/>
        <v>4626</v>
      </c>
      <c r="F34" s="218">
        <f t="shared" si="3"/>
        <v>1866</v>
      </c>
      <c r="G34" s="218">
        <f t="shared" si="3"/>
        <v>741</v>
      </c>
      <c r="H34" s="218">
        <f t="shared" si="3"/>
        <v>275</v>
      </c>
      <c r="I34" s="218">
        <f t="shared" si="3"/>
        <v>500</v>
      </c>
      <c r="J34" s="218">
        <f t="shared" si="3"/>
        <v>318</v>
      </c>
      <c r="K34" s="218">
        <f t="shared" si="3"/>
        <v>3051</v>
      </c>
      <c r="L34" s="218">
        <f t="shared" si="3"/>
        <v>4184</v>
      </c>
      <c r="M34" s="218">
        <f>SUM(M28:M33)</f>
        <v>6138</v>
      </c>
      <c r="N34" s="219">
        <f>SUM(N28:N33)</f>
        <v>42968</v>
      </c>
    </row>
    <row r="35" spans="1:14" ht="15.75" thickBot="1">
      <c r="A35" s="17"/>
      <c r="B35" s="159"/>
      <c r="C35" s="159"/>
      <c r="D35" s="159"/>
      <c r="E35" s="159"/>
      <c r="F35" s="159"/>
      <c r="G35" s="159"/>
      <c r="H35" s="159"/>
      <c r="I35" s="159"/>
      <c r="J35" s="159"/>
      <c r="K35" s="159"/>
      <c r="L35" s="159"/>
      <c r="M35" s="159"/>
      <c r="N35" s="159"/>
    </row>
    <row r="36" spans="1:14" ht="15.75" thickBot="1">
      <c r="A36" s="92" t="s">
        <v>20</v>
      </c>
      <c r="B36" s="227">
        <f>(70141/150)*31</f>
        <v>14495.806666666667</v>
      </c>
      <c r="C36" s="227">
        <f>(70141/150)*29</f>
        <v>13560.593333333334</v>
      </c>
      <c r="D36" s="227">
        <f>(70141/150)*31</f>
        <v>14495.806666666667</v>
      </c>
      <c r="E36" s="227">
        <f>(70141/150)*30</f>
        <v>14028.2</v>
      </c>
      <c r="F36" s="227">
        <f>((70141/150)*3)+843</f>
        <v>2245.8200000000002</v>
      </c>
      <c r="G36" s="227">
        <v>1219</v>
      </c>
      <c r="H36" s="227">
        <v>196</v>
      </c>
      <c r="I36" s="227">
        <v>182</v>
      </c>
      <c r="J36" s="227">
        <v>1638</v>
      </c>
      <c r="K36" s="227">
        <v>6657</v>
      </c>
      <c r="L36" s="227">
        <v>12596</v>
      </c>
      <c r="M36" s="227">
        <f>13569</f>
        <v>13569</v>
      </c>
      <c r="N36" s="228">
        <f>SUM(B36:M36)</f>
        <v>94883.226666666655</v>
      </c>
    </row>
    <row r="37" spans="1:14" ht="15.75" thickBot="1">
      <c r="A37" s="17"/>
      <c r="B37" s="159"/>
      <c r="C37" s="159"/>
      <c r="D37" s="159"/>
      <c r="E37" s="159"/>
      <c r="F37" s="159"/>
      <c r="G37" s="159"/>
      <c r="H37" s="159"/>
      <c r="I37" s="159"/>
      <c r="J37" s="159"/>
      <c r="K37" s="159"/>
      <c r="L37" s="159"/>
      <c r="M37" s="159"/>
      <c r="N37" s="159"/>
    </row>
    <row r="38" spans="1:14" ht="15.75" thickBot="1">
      <c r="A38" s="85" t="s">
        <v>66</v>
      </c>
      <c r="B38" s="224">
        <f>B25+B34+B36</f>
        <v>464476.80666666664</v>
      </c>
      <c r="C38" s="224">
        <f t="shared" ref="C38:N38" si="4">C25+C34+C36</f>
        <v>438671.59333333332</v>
      </c>
      <c r="D38" s="224">
        <f t="shared" si="4"/>
        <v>314959.80666666664</v>
      </c>
      <c r="E38" s="224">
        <f t="shared" si="4"/>
        <v>244482.2</v>
      </c>
      <c r="F38" s="224">
        <f t="shared" si="4"/>
        <v>120012.82</v>
      </c>
      <c r="G38" s="224">
        <f t="shared" si="4"/>
        <v>54562</v>
      </c>
      <c r="H38" s="224">
        <f t="shared" si="4"/>
        <v>46862</v>
      </c>
      <c r="I38" s="224">
        <f t="shared" si="4"/>
        <v>50566</v>
      </c>
      <c r="J38" s="224">
        <f t="shared" si="4"/>
        <v>96062</v>
      </c>
      <c r="K38" s="224">
        <f t="shared" si="4"/>
        <v>235513</v>
      </c>
      <c r="L38" s="224">
        <f t="shared" si="4"/>
        <v>346449</v>
      </c>
      <c r="M38" s="224">
        <f t="shared" si="4"/>
        <v>387156.27272727271</v>
      </c>
      <c r="N38" s="224">
        <f t="shared" si="4"/>
        <v>2799773.499393939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8"/>
  <sheetViews>
    <sheetView showGridLines="0" workbookViewId="0">
      <selection activeCell="N23" sqref="N23"/>
    </sheetView>
  </sheetViews>
  <sheetFormatPr defaultColWidth="8.85546875" defaultRowHeight="16.5" customHeight="1"/>
  <cols>
    <col min="1" max="1" width="27.42578125" style="99" customWidth="1"/>
    <col min="2" max="13" width="9.42578125" bestFit="1" customWidth="1"/>
    <col min="14" max="14" width="10.7109375" bestFit="1" customWidth="1"/>
  </cols>
  <sheetData>
    <row r="1" spans="1:14" ht="16.5" customHeight="1" thickBot="1">
      <c r="A1" s="96" t="s">
        <v>0</v>
      </c>
      <c r="B1" s="94">
        <v>43113</v>
      </c>
      <c r="C1" s="94">
        <v>43144</v>
      </c>
      <c r="D1" s="94">
        <v>43172</v>
      </c>
      <c r="E1" s="94">
        <v>43203</v>
      </c>
      <c r="F1" s="94">
        <v>43233</v>
      </c>
      <c r="G1" s="94">
        <v>43264</v>
      </c>
      <c r="H1" s="94">
        <v>43294</v>
      </c>
      <c r="I1" s="94">
        <v>43325</v>
      </c>
      <c r="J1" s="94">
        <v>43356</v>
      </c>
      <c r="K1" s="94">
        <v>43386</v>
      </c>
      <c r="L1" s="94">
        <v>43417</v>
      </c>
      <c r="M1" s="94">
        <v>43447</v>
      </c>
      <c r="N1" s="95" t="s">
        <v>132</v>
      </c>
    </row>
    <row r="2" spans="1:14" ht="16.5" customHeight="1">
      <c r="A2" s="74"/>
      <c r="B2" s="27"/>
      <c r="C2" s="27"/>
      <c r="D2" s="27"/>
      <c r="E2" s="27"/>
      <c r="F2" s="27"/>
      <c r="G2" s="27"/>
      <c r="H2" s="27"/>
      <c r="I2" s="27"/>
      <c r="J2" s="27"/>
      <c r="K2" s="27"/>
      <c r="L2" s="27"/>
      <c r="M2" s="27"/>
      <c r="N2" s="17"/>
    </row>
    <row r="3" spans="1:14" ht="16.5" customHeight="1" thickBot="1">
      <c r="A3" s="74" t="s">
        <v>51</v>
      </c>
      <c r="B3" s="27"/>
      <c r="C3" s="27"/>
      <c r="D3" s="27"/>
      <c r="E3" s="27"/>
      <c r="F3" s="27"/>
      <c r="G3" s="27"/>
      <c r="H3" s="27"/>
      <c r="I3" s="27"/>
      <c r="J3" s="27"/>
      <c r="K3" s="27"/>
      <c r="L3" s="27"/>
      <c r="M3" s="27"/>
      <c r="N3" s="17"/>
    </row>
    <row r="4" spans="1:14" ht="16.5" customHeight="1">
      <c r="A4" s="100" t="s">
        <v>91</v>
      </c>
      <c r="B4" s="105">
        <f>172861</f>
        <v>172861</v>
      </c>
      <c r="C4" s="105">
        <v>147765</v>
      </c>
      <c r="D4" s="105">
        <v>125269</v>
      </c>
      <c r="E4" s="105">
        <v>67552</v>
      </c>
      <c r="F4" s="105">
        <v>28878</v>
      </c>
      <c r="G4" s="105">
        <v>12917</v>
      </c>
      <c r="H4" s="105">
        <v>11478</v>
      </c>
      <c r="I4" s="105">
        <v>27780</v>
      </c>
      <c r="J4" s="105">
        <v>31716</v>
      </c>
      <c r="K4" s="105">
        <v>90603</v>
      </c>
      <c r="L4" s="105">
        <v>128122</v>
      </c>
      <c r="M4" s="105">
        <f>201334</f>
        <v>201334</v>
      </c>
      <c r="N4" s="196">
        <f>SUM(B4:M4)</f>
        <v>1046275</v>
      </c>
    </row>
    <row r="5" spans="1:14" ht="16.5" customHeight="1">
      <c r="A5" s="101" t="s">
        <v>21</v>
      </c>
      <c r="B5" s="107">
        <v>40859</v>
      </c>
      <c r="C5" s="107">
        <v>39634</v>
      </c>
      <c r="D5" s="107">
        <v>34291</v>
      </c>
      <c r="E5" s="107">
        <v>18131</v>
      </c>
      <c r="F5" s="107">
        <v>2195</v>
      </c>
      <c r="G5" s="107">
        <v>886</v>
      </c>
      <c r="H5" s="107">
        <v>901</v>
      </c>
      <c r="I5" s="107">
        <v>1028</v>
      </c>
      <c r="J5" s="107">
        <v>1759</v>
      </c>
      <c r="K5" s="107">
        <v>22503</v>
      </c>
      <c r="L5" s="107">
        <v>33499</v>
      </c>
      <c r="M5" s="107">
        <f>47610</f>
        <v>47610</v>
      </c>
      <c r="N5" s="197">
        <f t="shared" ref="N5:N24" si="0">SUM(B5:M5)</f>
        <v>243296</v>
      </c>
    </row>
    <row r="6" spans="1:14" ht="16.5" customHeight="1">
      <c r="A6" s="83" t="s">
        <v>92</v>
      </c>
      <c r="B6" s="107">
        <f>1406</f>
        <v>1406</v>
      </c>
      <c r="C6" s="107">
        <v>2544</v>
      </c>
      <c r="D6" s="107">
        <v>766</v>
      </c>
      <c r="E6" s="107">
        <v>3114</v>
      </c>
      <c r="F6" s="107">
        <v>2815</v>
      </c>
      <c r="G6" s="107">
        <v>1405</v>
      </c>
      <c r="H6" s="107">
        <v>222</v>
      </c>
      <c r="I6" s="107">
        <v>1174</v>
      </c>
      <c r="J6" s="107">
        <v>969</v>
      </c>
      <c r="K6" s="107">
        <v>1478</v>
      </c>
      <c r="L6" s="107">
        <v>1830</v>
      </c>
      <c r="M6" s="107">
        <f>(1329)</f>
        <v>1329</v>
      </c>
      <c r="N6" s="197">
        <f t="shared" si="0"/>
        <v>19052</v>
      </c>
    </row>
    <row r="7" spans="1:14" ht="16.5" customHeight="1">
      <c r="A7" s="83" t="s">
        <v>2</v>
      </c>
      <c r="B7" s="107">
        <f>10443</f>
        <v>10443</v>
      </c>
      <c r="C7" s="107">
        <v>12194</v>
      </c>
      <c r="D7" s="107">
        <v>9690</v>
      </c>
      <c r="E7" s="107">
        <v>9054</v>
      </c>
      <c r="F7" s="107">
        <v>4412</v>
      </c>
      <c r="G7" s="107">
        <v>2057</v>
      </c>
      <c r="H7" s="107">
        <v>1539</v>
      </c>
      <c r="I7" s="107">
        <v>821</v>
      </c>
      <c r="J7" s="107">
        <v>2451</v>
      </c>
      <c r="K7" s="107">
        <v>2651</v>
      </c>
      <c r="L7" s="107">
        <v>6057</v>
      </c>
      <c r="M7" s="107">
        <f>(8581)</f>
        <v>8581</v>
      </c>
      <c r="N7" s="197">
        <f t="shared" si="0"/>
        <v>69950</v>
      </c>
    </row>
    <row r="8" spans="1:14" ht="16.5" customHeight="1">
      <c r="A8" s="83" t="s">
        <v>69</v>
      </c>
      <c r="B8" s="107">
        <v>8015</v>
      </c>
      <c r="C8" s="107">
        <v>9858</v>
      </c>
      <c r="D8" s="107">
        <v>6099</v>
      </c>
      <c r="E8" s="107">
        <v>1407</v>
      </c>
      <c r="F8" s="107">
        <v>1165</v>
      </c>
      <c r="G8" s="107">
        <v>2394</v>
      </c>
      <c r="H8" s="107">
        <v>1238</v>
      </c>
      <c r="I8" s="107">
        <v>872</v>
      </c>
      <c r="J8" s="107">
        <v>506</v>
      </c>
      <c r="K8" s="107">
        <v>2425</v>
      </c>
      <c r="L8" s="107">
        <v>5382</v>
      </c>
      <c r="M8" s="107">
        <f>(6924)</f>
        <v>6924</v>
      </c>
      <c r="N8" s="197">
        <f t="shared" si="0"/>
        <v>46285</v>
      </c>
    </row>
    <row r="9" spans="1:14" ht="16.5" customHeight="1">
      <c r="A9" s="83" t="s">
        <v>70</v>
      </c>
      <c r="B9" s="107">
        <v>2571</v>
      </c>
      <c r="C9" s="107">
        <v>2940</v>
      </c>
      <c r="D9" s="107">
        <v>3303</v>
      </c>
      <c r="E9" s="107">
        <v>2605</v>
      </c>
      <c r="F9" s="107">
        <v>2059</v>
      </c>
      <c r="G9" s="107">
        <v>581</v>
      </c>
      <c r="H9" s="107">
        <v>393</v>
      </c>
      <c r="I9" s="107">
        <v>746</v>
      </c>
      <c r="J9" s="107">
        <v>820</v>
      </c>
      <c r="K9" s="107">
        <v>2010</v>
      </c>
      <c r="L9" s="107">
        <v>1884</v>
      </c>
      <c r="M9" s="107">
        <f>(2114)</f>
        <v>2114</v>
      </c>
      <c r="N9" s="197">
        <f t="shared" si="0"/>
        <v>22026</v>
      </c>
    </row>
    <row r="10" spans="1:14" ht="16.5" customHeight="1">
      <c r="A10" s="83" t="s">
        <v>71</v>
      </c>
      <c r="B10" s="107">
        <v>2469</v>
      </c>
      <c r="C10" s="107">
        <v>2648</v>
      </c>
      <c r="D10" s="107">
        <v>2746</v>
      </c>
      <c r="E10" s="107">
        <v>2127</v>
      </c>
      <c r="F10" s="107">
        <v>2071</v>
      </c>
      <c r="G10" s="107">
        <v>637</v>
      </c>
      <c r="H10" s="107">
        <v>851</v>
      </c>
      <c r="I10" s="107">
        <v>801</v>
      </c>
      <c r="J10" s="107">
        <v>491</v>
      </c>
      <c r="K10" s="107">
        <v>2182</v>
      </c>
      <c r="L10" s="107">
        <v>2041</v>
      </c>
      <c r="M10" s="107">
        <f>1432</f>
        <v>1432</v>
      </c>
      <c r="N10" s="197">
        <f t="shared" si="0"/>
        <v>20496</v>
      </c>
    </row>
    <row r="11" spans="1:14" ht="16.5" customHeight="1">
      <c r="A11" s="83" t="s">
        <v>72</v>
      </c>
      <c r="B11" s="107">
        <v>2015</v>
      </c>
      <c r="C11" s="107">
        <v>2614</v>
      </c>
      <c r="D11" s="107">
        <v>2289</v>
      </c>
      <c r="E11" s="107">
        <v>2757</v>
      </c>
      <c r="F11" s="107">
        <v>1342</v>
      </c>
      <c r="G11" s="107">
        <v>1275</v>
      </c>
      <c r="H11" s="107">
        <v>1542</v>
      </c>
      <c r="I11" s="107">
        <v>1078</v>
      </c>
      <c r="J11" s="107">
        <v>1461</v>
      </c>
      <c r="K11" s="107">
        <v>1590</v>
      </c>
      <c r="L11" s="107">
        <v>2434</v>
      </c>
      <c r="M11" s="107">
        <f>1685</f>
        <v>1685</v>
      </c>
      <c r="N11" s="197">
        <f t="shared" si="0"/>
        <v>22082</v>
      </c>
    </row>
    <row r="12" spans="1:14" ht="16.5" customHeight="1">
      <c r="A12" s="83" t="s">
        <v>73</v>
      </c>
      <c r="B12" s="107">
        <v>3590</v>
      </c>
      <c r="C12" s="107">
        <v>4294</v>
      </c>
      <c r="D12" s="107">
        <v>2417</v>
      </c>
      <c r="E12" s="107">
        <v>3554</v>
      </c>
      <c r="F12" s="107">
        <v>1191</v>
      </c>
      <c r="G12" s="107">
        <v>591</v>
      </c>
      <c r="H12" s="107">
        <v>190</v>
      </c>
      <c r="I12" s="107">
        <v>145</v>
      </c>
      <c r="J12" s="107">
        <v>32</v>
      </c>
      <c r="K12" s="107">
        <v>995</v>
      </c>
      <c r="L12" s="107">
        <v>2578</v>
      </c>
      <c r="M12" s="107">
        <f>(3085)</f>
        <v>3085</v>
      </c>
      <c r="N12" s="197">
        <f t="shared" si="0"/>
        <v>22662</v>
      </c>
    </row>
    <row r="13" spans="1:14" ht="16.5" customHeight="1">
      <c r="A13" s="83" t="s">
        <v>74</v>
      </c>
      <c r="B13" s="107">
        <v>23593</v>
      </c>
      <c r="C13" s="107">
        <v>27230</v>
      </c>
      <c r="D13" s="107">
        <v>18365</v>
      </c>
      <c r="E13" s="107">
        <v>16647</v>
      </c>
      <c r="F13" s="107">
        <v>6516</v>
      </c>
      <c r="G13" s="107">
        <v>4119</v>
      </c>
      <c r="H13" s="107">
        <v>1584</v>
      </c>
      <c r="I13" s="107">
        <v>2428</v>
      </c>
      <c r="J13" s="107">
        <v>2470</v>
      </c>
      <c r="K13" s="107">
        <v>4881</v>
      </c>
      <c r="L13" s="107">
        <v>9445</v>
      </c>
      <c r="M13" s="107">
        <f>(17131)</f>
        <v>17131</v>
      </c>
      <c r="N13" s="197">
        <f t="shared" si="0"/>
        <v>134409</v>
      </c>
    </row>
    <row r="14" spans="1:14" ht="16.5" customHeight="1">
      <c r="A14" s="83" t="s">
        <v>75</v>
      </c>
      <c r="B14" s="107">
        <v>9369</v>
      </c>
      <c r="C14" s="107">
        <v>10528</v>
      </c>
      <c r="D14" s="107">
        <v>7300</v>
      </c>
      <c r="E14" s="107">
        <v>7704</v>
      </c>
      <c r="F14" s="107">
        <v>2499</v>
      </c>
      <c r="G14" s="107">
        <v>1365</v>
      </c>
      <c r="H14" s="107">
        <v>0</v>
      </c>
      <c r="I14" s="107">
        <v>456</v>
      </c>
      <c r="J14" s="107">
        <v>421</v>
      </c>
      <c r="K14" s="107">
        <v>2192</v>
      </c>
      <c r="L14" s="107">
        <v>5413</v>
      </c>
      <c r="M14" s="107">
        <f>(7512)</f>
        <v>7512</v>
      </c>
      <c r="N14" s="197">
        <f t="shared" si="0"/>
        <v>54759</v>
      </c>
    </row>
    <row r="15" spans="1:14" ht="16.5" customHeight="1">
      <c r="A15" s="83" t="s">
        <v>22</v>
      </c>
      <c r="B15" s="107">
        <v>726</v>
      </c>
      <c r="C15" s="107">
        <v>970</v>
      </c>
      <c r="D15" s="107">
        <v>861</v>
      </c>
      <c r="E15" s="107">
        <v>431</v>
      </c>
      <c r="F15" s="107">
        <v>360</v>
      </c>
      <c r="G15" s="107">
        <v>86</v>
      </c>
      <c r="H15" s="107">
        <v>80</v>
      </c>
      <c r="I15" s="107">
        <v>25</v>
      </c>
      <c r="J15" s="107">
        <v>53</v>
      </c>
      <c r="K15" s="107">
        <v>66</v>
      </c>
      <c r="L15" s="107">
        <v>146</v>
      </c>
      <c r="M15" s="107">
        <f>(568)</f>
        <v>568</v>
      </c>
      <c r="N15" s="197">
        <f t="shared" si="0"/>
        <v>4372</v>
      </c>
    </row>
    <row r="16" spans="1:14" ht="16.5" customHeight="1">
      <c r="A16" s="83" t="s">
        <v>76</v>
      </c>
      <c r="B16" s="107">
        <v>10330</v>
      </c>
      <c r="C16" s="107">
        <v>11825</v>
      </c>
      <c r="D16" s="107">
        <v>8648</v>
      </c>
      <c r="E16" s="107">
        <v>8233</v>
      </c>
      <c r="F16" s="107">
        <v>2104</v>
      </c>
      <c r="G16" s="107">
        <v>1539</v>
      </c>
      <c r="H16" s="107">
        <v>1230</v>
      </c>
      <c r="I16" s="107">
        <v>648</v>
      </c>
      <c r="J16" s="107">
        <v>709</v>
      </c>
      <c r="K16" s="107">
        <v>2422</v>
      </c>
      <c r="L16" s="107">
        <v>5694</v>
      </c>
      <c r="M16" s="107">
        <f>(8359)</f>
        <v>8359</v>
      </c>
      <c r="N16" s="197">
        <f t="shared" si="0"/>
        <v>61741</v>
      </c>
    </row>
    <row r="17" spans="1:14" ht="16.5" customHeight="1">
      <c r="A17" s="83" t="s">
        <v>77</v>
      </c>
      <c r="B17" s="107">
        <f>20</f>
        <v>20</v>
      </c>
      <c r="C17" s="107">
        <v>919</v>
      </c>
      <c r="D17" s="107">
        <v>656</v>
      </c>
      <c r="E17" s="107">
        <v>2715</v>
      </c>
      <c r="F17" s="107">
        <v>917</v>
      </c>
      <c r="G17" s="107">
        <v>512</v>
      </c>
      <c r="H17" s="107">
        <v>28</v>
      </c>
      <c r="I17" s="107">
        <v>132</v>
      </c>
      <c r="J17" s="107">
        <v>96</v>
      </c>
      <c r="K17" s="107">
        <v>51</v>
      </c>
      <c r="L17" s="107">
        <v>48</v>
      </c>
      <c r="M17" s="107">
        <f>(8)</f>
        <v>8</v>
      </c>
      <c r="N17" s="197">
        <f t="shared" si="0"/>
        <v>6102</v>
      </c>
    </row>
    <row r="18" spans="1:14" ht="16.5" customHeight="1">
      <c r="A18" s="83" t="s">
        <v>78</v>
      </c>
      <c r="B18" s="107">
        <v>1354</v>
      </c>
      <c r="C18" s="107">
        <v>1588</v>
      </c>
      <c r="D18" s="107">
        <v>1653</v>
      </c>
      <c r="E18" s="107">
        <v>1051</v>
      </c>
      <c r="F18" s="107">
        <v>590</v>
      </c>
      <c r="G18" s="107">
        <v>264</v>
      </c>
      <c r="H18" s="107">
        <v>60</v>
      </c>
      <c r="I18" s="107">
        <v>146</v>
      </c>
      <c r="J18" s="107">
        <v>109</v>
      </c>
      <c r="K18" s="107">
        <v>342</v>
      </c>
      <c r="L18" s="107">
        <v>714</v>
      </c>
      <c r="M18" s="107">
        <f>(1263)</f>
        <v>1263</v>
      </c>
      <c r="N18" s="197">
        <f t="shared" si="0"/>
        <v>9134</v>
      </c>
    </row>
    <row r="19" spans="1:14" ht="16.5" customHeight="1">
      <c r="A19" s="25" t="s">
        <v>79</v>
      </c>
      <c r="B19" s="107">
        <f>13548</f>
        <v>13548</v>
      </c>
      <c r="C19" s="107">
        <v>12249</v>
      </c>
      <c r="D19" s="107">
        <v>10943</v>
      </c>
      <c r="E19" s="107">
        <v>6641</v>
      </c>
      <c r="F19" s="107">
        <v>1562</v>
      </c>
      <c r="G19" s="107">
        <v>282</v>
      </c>
      <c r="H19" s="107">
        <v>241</v>
      </c>
      <c r="I19" s="107">
        <v>506</v>
      </c>
      <c r="J19" s="107">
        <v>2278</v>
      </c>
      <c r="K19" s="107">
        <v>9203</v>
      </c>
      <c r="L19" s="107">
        <v>10768</v>
      </c>
      <c r="M19" s="107">
        <f>15347</f>
        <v>15347</v>
      </c>
      <c r="N19" s="197">
        <f t="shared" si="0"/>
        <v>83568</v>
      </c>
    </row>
    <row r="20" spans="1:14" ht="16.5" customHeight="1">
      <c r="A20" s="25" t="s">
        <v>80</v>
      </c>
      <c r="B20" s="107">
        <f>1737</f>
        <v>1737</v>
      </c>
      <c r="C20" s="107">
        <v>2119</v>
      </c>
      <c r="D20" s="107">
        <v>1691</v>
      </c>
      <c r="E20" s="107">
        <v>1488</v>
      </c>
      <c r="F20" s="107">
        <v>136</v>
      </c>
      <c r="G20" s="107">
        <v>79</v>
      </c>
      <c r="H20" s="107">
        <v>47</v>
      </c>
      <c r="I20" s="107">
        <v>32</v>
      </c>
      <c r="J20" s="107">
        <v>152</v>
      </c>
      <c r="K20" s="107">
        <v>371</v>
      </c>
      <c r="L20" s="107">
        <v>1436</v>
      </c>
      <c r="M20" s="107">
        <f>2722</f>
        <v>2722</v>
      </c>
      <c r="N20" s="197">
        <f t="shared" si="0"/>
        <v>12010</v>
      </c>
    </row>
    <row r="21" spans="1:14" ht="16.5" customHeight="1">
      <c r="A21" s="25" t="s">
        <v>81</v>
      </c>
      <c r="B21" s="107">
        <f>41588</f>
        <v>41588</v>
      </c>
      <c r="C21" s="107">
        <v>34597</v>
      </c>
      <c r="D21" s="107">
        <v>30280</v>
      </c>
      <c r="E21" s="107">
        <v>13515</v>
      </c>
      <c r="F21" s="107">
        <v>4147</v>
      </c>
      <c r="G21" s="107">
        <v>1716</v>
      </c>
      <c r="H21" s="107">
        <v>1170</v>
      </c>
      <c r="I21" s="107">
        <v>1858</v>
      </c>
      <c r="J21" s="107">
        <v>2821</v>
      </c>
      <c r="K21" s="107">
        <v>16399</v>
      </c>
      <c r="L21" s="107">
        <v>29285</v>
      </c>
      <c r="M21" s="107">
        <f>44789</f>
        <v>44789</v>
      </c>
      <c r="N21" s="197">
        <f t="shared" si="0"/>
        <v>222165</v>
      </c>
    </row>
    <row r="22" spans="1:14" ht="16.5" customHeight="1">
      <c r="A22" s="25" t="s">
        <v>23</v>
      </c>
      <c r="B22" s="107">
        <f>50922</f>
        <v>50922</v>
      </c>
      <c r="C22" s="107">
        <v>41418</v>
      </c>
      <c r="D22" s="107">
        <v>35206</v>
      </c>
      <c r="E22" s="107">
        <v>19325</v>
      </c>
      <c r="F22" s="107">
        <v>11767</v>
      </c>
      <c r="G22" s="107">
        <v>5340</v>
      </c>
      <c r="H22" s="107">
        <v>3026</v>
      </c>
      <c r="I22" s="107">
        <v>5343</v>
      </c>
      <c r="J22" s="107">
        <v>8830</v>
      </c>
      <c r="K22" s="107">
        <v>22167</v>
      </c>
      <c r="L22" s="107">
        <v>31416</v>
      </c>
      <c r="M22" s="107">
        <f>55067</f>
        <v>55067</v>
      </c>
      <c r="N22" s="197">
        <f t="shared" si="0"/>
        <v>289827</v>
      </c>
    </row>
    <row r="23" spans="1:14" ht="16.5" customHeight="1">
      <c r="A23" s="25" t="s">
        <v>82</v>
      </c>
      <c r="B23" s="107">
        <f>64387</f>
        <v>64387</v>
      </c>
      <c r="C23" s="107">
        <v>53911</v>
      </c>
      <c r="D23" s="107">
        <v>49392</v>
      </c>
      <c r="E23" s="107">
        <v>33203</v>
      </c>
      <c r="F23" s="107">
        <v>23730</v>
      </c>
      <c r="G23" s="107">
        <v>17173</v>
      </c>
      <c r="H23" s="107">
        <v>14158</v>
      </c>
      <c r="I23" s="107">
        <v>16558</v>
      </c>
      <c r="J23" s="107">
        <v>18249</v>
      </c>
      <c r="K23" s="107">
        <v>34900</v>
      </c>
      <c r="L23" s="107">
        <v>49509</v>
      </c>
      <c r="M23" s="107">
        <f>80792</f>
        <v>80792</v>
      </c>
      <c r="N23" s="197">
        <f t="shared" si="0"/>
        <v>455962</v>
      </c>
    </row>
    <row r="24" spans="1:14" ht="16.5" customHeight="1" thickBot="1">
      <c r="A24" s="104" t="s">
        <v>24</v>
      </c>
      <c r="B24" s="156">
        <f>27821</f>
        <v>27821</v>
      </c>
      <c r="C24" s="156">
        <v>22303</v>
      </c>
      <c r="D24" s="156">
        <v>19577</v>
      </c>
      <c r="E24" s="156">
        <v>16677</v>
      </c>
      <c r="F24" s="156">
        <v>12813</v>
      </c>
      <c r="G24" s="156">
        <v>8643</v>
      </c>
      <c r="H24" s="156">
        <v>6269</v>
      </c>
      <c r="I24" s="156">
        <v>8841</v>
      </c>
      <c r="J24" s="156">
        <v>11773</v>
      </c>
      <c r="K24" s="156">
        <v>20470</v>
      </c>
      <c r="L24" s="156">
        <v>22614</v>
      </c>
      <c r="M24" s="156">
        <f>30549</f>
        <v>30549</v>
      </c>
      <c r="N24" s="198">
        <f t="shared" si="0"/>
        <v>208350</v>
      </c>
    </row>
    <row r="25" spans="1:14" ht="16.5" customHeight="1" thickTop="1" thickBot="1">
      <c r="A25" s="97" t="s">
        <v>3</v>
      </c>
      <c r="B25" s="232">
        <f t="shared" ref="B25:N25" si="1">SUM(B4:B24)</f>
        <v>489624</v>
      </c>
      <c r="C25" s="232">
        <f t="shared" si="1"/>
        <v>444148</v>
      </c>
      <c r="D25" s="232">
        <f t="shared" si="1"/>
        <v>371442</v>
      </c>
      <c r="E25" s="232">
        <f t="shared" si="1"/>
        <v>237931</v>
      </c>
      <c r="F25" s="232">
        <f t="shared" si="1"/>
        <v>113269</v>
      </c>
      <c r="G25" s="232">
        <f t="shared" si="1"/>
        <v>63861</v>
      </c>
      <c r="H25" s="232">
        <f t="shared" si="1"/>
        <v>46247</v>
      </c>
      <c r="I25" s="232">
        <f t="shared" si="1"/>
        <v>71418</v>
      </c>
      <c r="J25" s="232">
        <f t="shared" si="1"/>
        <v>88166</v>
      </c>
      <c r="K25" s="232">
        <f t="shared" si="1"/>
        <v>239901</v>
      </c>
      <c r="L25" s="232">
        <f t="shared" si="1"/>
        <v>350315</v>
      </c>
      <c r="M25" s="232">
        <f t="shared" si="1"/>
        <v>538201</v>
      </c>
      <c r="N25" s="233">
        <f t="shared" si="1"/>
        <v>3054523</v>
      </c>
    </row>
    <row r="26" spans="1:14" ht="16.5" customHeight="1">
      <c r="A26" s="74"/>
      <c r="B26" s="159"/>
      <c r="C26" s="159"/>
      <c r="D26" s="159"/>
      <c r="E26" s="159"/>
      <c r="F26" s="159"/>
      <c r="G26" s="159"/>
      <c r="H26" s="159"/>
      <c r="I26" s="159"/>
      <c r="J26" s="159"/>
      <c r="K26" s="159"/>
      <c r="L26" s="159"/>
      <c r="M26" s="159"/>
      <c r="N26" s="159"/>
    </row>
    <row r="27" spans="1:14" ht="16.5" customHeight="1" thickBot="1">
      <c r="A27" s="74" t="s">
        <v>15</v>
      </c>
      <c r="B27" s="159"/>
      <c r="C27" s="159"/>
      <c r="D27" s="159"/>
      <c r="E27" s="159"/>
      <c r="F27" s="159"/>
      <c r="G27" s="159"/>
      <c r="H27" s="159"/>
      <c r="I27" s="159"/>
      <c r="J27" s="159"/>
      <c r="K27" s="159"/>
      <c r="L27" s="159"/>
      <c r="M27" s="159"/>
      <c r="N27" s="159"/>
    </row>
    <row r="28" spans="1:14" ht="16.5" customHeight="1">
      <c r="A28" s="5" t="s">
        <v>85</v>
      </c>
      <c r="B28" s="105">
        <v>1852</v>
      </c>
      <c r="C28" s="105">
        <v>2036</v>
      </c>
      <c r="D28" s="105">
        <v>1470</v>
      </c>
      <c r="E28" s="105">
        <v>1169</v>
      </c>
      <c r="F28" s="105">
        <v>454</v>
      </c>
      <c r="G28" s="105">
        <v>284</v>
      </c>
      <c r="H28" s="105">
        <v>0</v>
      </c>
      <c r="I28" s="105">
        <v>169</v>
      </c>
      <c r="J28" s="105">
        <v>0</v>
      </c>
      <c r="K28" s="105">
        <v>544</v>
      </c>
      <c r="L28" s="105">
        <v>729</v>
      </c>
      <c r="M28" s="105">
        <f>(1650)</f>
        <v>1650</v>
      </c>
      <c r="N28" s="196">
        <f t="shared" ref="N28:N33" si="2">SUM(B28:M28)</f>
        <v>10357</v>
      </c>
    </row>
    <row r="29" spans="1:14" ht="16.5" customHeight="1">
      <c r="A29" s="3" t="s">
        <v>86</v>
      </c>
      <c r="B29" s="107">
        <f>1269</f>
        <v>1269</v>
      </c>
      <c r="C29" s="107">
        <v>1167</v>
      </c>
      <c r="D29" s="107">
        <v>1156</v>
      </c>
      <c r="E29" s="107">
        <v>703</v>
      </c>
      <c r="F29" s="107">
        <v>307</v>
      </c>
      <c r="G29" s="107">
        <v>113</v>
      </c>
      <c r="H29" s="107">
        <v>52</v>
      </c>
      <c r="I29" s="107">
        <v>4</v>
      </c>
      <c r="J29" s="107">
        <v>4</v>
      </c>
      <c r="K29" s="107">
        <v>294</v>
      </c>
      <c r="L29" s="107">
        <v>1106</v>
      </c>
      <c r="M29" s="107">
        <f>1509</f>
        <v>1509</v>
      </c>
      <c r="N29" s="197">
        <f t="shared" si="2"/>
        <v>7684</v>
      </c>
    </row>
    <row r="30" spans="1:14" ht="16.5" customHeight="1">
      <c r="A30" s="3" t="s">
        <v>87</v>
      </c>
      <c r="B30" s="107">
        <v>2707</v>
      </c>
      <c r="C30" s="107">
        <v>3069</v>
      </c>
      <c r="D30" s="107">
        <v>1989</v>
      </c>
      <c r="E30" s="107">
        <v>1832</v>
      </c>
      <c r="F30" s="107">
        <v>658</v>
      </c>
      <c r="G30" s="107">
        <v>262</v>
      </c>
      <c r="H30" s="107">
        <v>0</v>
      </c>
      <c r="I30" s="107">
        <v>23</v>
      </c>
      <c r="J30" s="107">
        <v>0</v>
      </c>
      <c r="K30" s="107">
        <v>687</v>
      </c>
      <c r="L30" s="107">
        <v>1471</v>
      </c>
      <c r="M30" s="107">
        <f>(2501)</f>
        <v>2501</v>
      </c>
      <c r="N30" s="197">
        <f t="shared" si="2"/>
        <v>15199</v>
      </c>
    </row>
    <row r="31" spans="1:14" ht="16.5" customHeight="1">
      <c r="A31" s="3" t="s">
        <v>88</v>
      </c>
      <c r="B31" s="107">
        <v>1647</v>
      </c>
      <c r="C31" s="107">
        <v>1854</v>
      </c>
      <c r="D31" s="107">
        <v>1337</v>
      </c>
      <c r="E31" s="107">
        <v>1089</v>
      </c>
      <c r="F31" s="107">
        <v>420</v>
      </c>
      <c r="G31" s="107">
        <v>155</v>
      </c>
      <c r="H31" s="107">
        <v>0</v>
      </c>
      <c r="I31" s="107">
        <v>13</v>
      </c>
      <c r="J31" s="107">
        <v>0</v>
      </c>
      <c r="K31" s="107">
        <v>426</v>
      </c>
      <c r="L31" s="107">
        <v>949</v>
      </c>
      <c r="M31" s="107">
        <f>(1509)</f>
        <v>1509</v>
      </c>
      <c r="N31" s="197">
        <f t="shared" si="2"/>
        <v>9399</v>
      </c>
    </row>
    <row r="32" spans="1:14" ht="16.5" customHeight="1">
      <c r="A32" s="3" t="s">
        <v>89</v>
      </c>
      <c r="B32" s="107">
        <v>832</v>
      </c>
      <c r="C32" s="107">
        <v>935</v>
      </c>
      <c r="D32" s="107">
        <v>666</v>
      </c>
      <c r="E32" s="107">
        <v>541</v>
      </c>
      <c r="F32" s="107">
        <v>223</v>
      </c>
      <c r="G32" s="107">
        <v>81</v>
      </c>
      <c r="H32" s="107">
        <v>39</v>
      </c>
      <c r="I32" s="107">
        <v>7</v>
      </c>
      <c r="J32" s="107">
        <v>43</v>
      </c>
      <c r="K32" s="107">
        <v>202</v>
      </c>
      <c r="L32" s="107">
        <v>494</v>
      </c>
      <c r="M32" s="107">
        <f>(739)</f>
        <v>739</v>
      </c>
      <c r="N32" s="197">
        <f t="shared" si="2"/>
        <v>4802</v>
      </c>
    </row>
    <row r="33" spans="1:14" ht="16.5" customHeight="1" thickBot="1">
      <c r="A33" s="3" t="s">
        <v>90</v>
      </c>
      <c r="B33" s="156">
        <v>480</v>
      </c>
      <c r="C33" s="156">
        <v>519</v>
      </c>
      <c r="D33" s="156">
        <v>565</v>
      </c>
      <c r="E33" s="156">
        <v>142</v>
      </c>
      <c r="F33" s="156">
        <v>143</v>
      </c>
      <c r="G33" s="156">
        <v>179</v>
      </c>
      <c r="H33" s="156">
        <v>440</v>
      </c>
      <c r="I33" s="156">
        <v>266</v>
      </c>
      <c r="J33" s="156">
        <v>269</v>
      </c>
      <c r="K33" s="156">
        <v>423</v>
      </c>
      <c r="L33" s="156">
        <v>309</v>
      </c>
      <c r="M33" s="156">
        <f>(375)</f>
        <v>375</v>
      </c>
      <c r="N33" s="198">
        <f t="shared" si="2"/>
        <v>4110</v>
      </c>
    </row>
    <row r="34" spans="1:14" ht="16.5" customHeight="1" thickTop="1" thickBot="1">
      <c r="A34" s="97" t="s">
        <v>4</v>
      </c>
      <c r="B34" s="232">
        <f>SUM(B28:B33)</f>
        <v>8787</v>
      </c>
      <c r="C34" s="232">
        <f t="shared" ref="C34:N34" si="3">SUM(C28:C33)</f>
        <v>9580</v>
      </c>
      <c r="D34" s="232">
        <f t="shared" si="3"/>
        <v>7183</v>
      </c>
      <c r="E34" s="232">
        <f t="shared" si="3"/>
        <v>5476</v>
      </c>
      <c r="F34" s="232">
        <f t="shared" si="3"/>
        <v>2205</v>
      </c>
      <c r="G34" s="232">
        <f t="shared" si="3"/>
        <v>1074</v>
      </c>
      <c r="H34" s="232">
        <f t="shared" si="3"/>
        <v>531</v>
      </c>
      <c r="I34" s="232">
        <f t="shared" si="3"/>
        <v>482</v>
      </c>
      <c r="J34" s="232">
        <f t="shared" si="3"/>
        <v>316</v>
      </c>
      <c r="K34" s="232">
        <f t="shared" si="3"/>
        <v>2576</v>
      </c>
      <c r="L34" s="232">
        <f t="shared" si="3"/>
        <v>5058</v>
      </c>
      <c r="M34" s="232">
        <f t="shared" si="3"/>
        <v>8283</v>
      </c>
      <c r="N34" s="233">
        <f t="shared" si="3"/>
        <v>51551</v>
      </c>
    </row>
    <row r="35" spans="1:14" ht="16.5" customHeight="1" thickBot="1">
      <c r="A35" s="74"/>
      <c r="B35" s="159"/>
      <c r="C35" s="159"/>
      <c r="D35" s="159"/>
      <c r="E35" s="159"/>
      <c r="F35" s="159"/>
      <c r="G35" s="159"/>
      <c r="H35" s="159"/>
      <c r="I35" s="159"/>
      <c r="J35" s="159"/>
      <c r="K35" s="159"/>
      <c r="L35" s="159"/>
      <c r="M35" s="159"/>
      <c r="N35" s="159"/>
    </row>
    <row r="36" spans="1:14" ht="16.5" customHeight="1" thickBot="1">
      <c r="A36" s="96" t="s">
        <v>20</v>
      </c>
      <c r="B36" s="227">
        <f>19417</f>
        <v>19417</v>
      </c>
      <c r="C36" s="227">
        <v>12980</v>
      </c>
      <c r="D36" s="227">
        <v>13370</v>
      </c>
      <c r="E36" s="227">
        <v>7647</v>
      </c>
      <c r="F36" s="227">
        <v>3095</v>
      </c>
      <c r="G36" s="227">
        <v>108</v>
      </c>
      <c r="H36" s="227">
        <v>273</v>
      </c>
      <c r="I36" s="227">
        <v>242</v>
      </c>
      <c r="J36" s="227">
        <v>2167</v>
      </c>
      <c r="K36" s="227">
        <v>4322</v>
      </c>
      <c r="L36" s="227">
        <v>12035</v>
      </c>
      <c r="M36" s="227">
        <f>17985</f>
        <v>17985</v>
      </c>
      <c r="N36" s="228">
        <f>SUM(B36:M36)</f>
        <v>93641</v>
      </c>
    </row>
    <row r="37" spans="1:14" ht="16.5" customHeight="1" thickBot="1">
      <c r="A37" s="74"/>
      <c r="B37" s="159"/>
      <c r="C37" s="159"/>
      <c r="D37" s="159"/>
      <c r="E37" s="159"/>
      <c r="F37" s="159"/>
      <c r="G37" s="159"/>
      <c r="H37" s="159"/>
      <c r="I37" s="159"/>
      <c r="J37" s="159"/>
      <c r="K37" s="159"/>
      <c r="L37" s="159"/>
      <c r="M37" s="159"/>
      <c r="N37" s="159"/>
    </row>
    <row r="38" spans="1:14" ht="16.5" customHeight="1" thickBot="1">
      <c r="A38" s="98" t="s">
        <v>61</v>
      </c>
      <c r="B38" s="234">
        <f>B25+B34+B36</f>
        <v>517828</v>
      </c>
      <c r="C38" s="234">
        <f t="shared" ref="C38:N38" si="4">C25+C34+C36</f>
        <v>466708</v>
      </c>
      <c r="D38" s="234">
        <f t="shared" si="4"/>
        <v>391995</v>
      </c>
      <c r="E38" s="234">
        <f t="shared" si="4"/>
        <v>251054</v>
      </c>
      <c r="F38" s="234">
        <f t="shared" si="4"/>
        <v>118569</v>
      </c>
      <c r="G38" s="234">
        <f t="shared" si="4"/>
        <v>65043</v>
      </c>
      <c r="H38" s="234">
        <f t="shared" si="4"/>
        <v>47051</v>
      </c>
      <c r="I38" s="234">
        <f t="shared" si="4"/>
        <v>72142</v>
      </c>
      <c r="J38" s="234">
        <f t="shared" si="4"/>
        <v>90649</v>
      </c>
      <c r="K38" s="234">
        <f t="shared" si="4"/>
        <v>246799</v>
      </c>
      <c r="L38" s="234">
        <f t="shared" si="4"/>
        <v>367408</v>
      </c>
      <c r="M38" s="234">
        <f t="shared" si="4"/>
        <v>564469</v>
      </c>
      <c r="N38" s="235">
        <f t="shared" si="4"/>
        <v>3199715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8"/>
  <sheetViews>
    <sheetView showGridLines="0" topLeftCell="A10" workbookViewId="0">
      <selection activeCell="N22" sqref="A22:N22"/>
    </sheetView>
  </sheetViews>
  <sheetFormatPr defaultColWidth="8.85546875" defaultRowHeight="15"/>
  <cols>
    <col min="1" max="1" width="27.42578125" style="99" customWidth="1"/>
    <col min="2" max="13" width="9.42578125" bestFit="1" customWidth="1"/>
    <col min="14" max="14" width="10.7109375" bestFit="1" customWidth="1"/>
  </cols>
  <sheetData>
    <row r="1" spans="1:14" ht="17.25" thickBot="1">
      <c r="A1" s="82" t="s">
        <v>0</v>
      </c>
      <c r="B1" s="90">
        <v>41640</v>
      </c>
      <c r="C1" s="90">
        <v>41671</v>
      </c>
      <c r="D1" s="90">
        <v>41699</v>
      </c>
      <c r="E1" s="90">
        <v>41730</v>
      </c>
      <c r="F1" s="90">
        <v>41760</v>
      </c>
      <c r="G1" s="90">
        <v>41791</v>
      </c>
      <c r="H1" s="90">
        <v>41821</v>
      </c>
      <c r="I1" s="90">
        <v>41852</v>
      </c>
      <c r="J1" s="90">
        <v>41883</v>
      </c>
      <c r="K1" s="90">
        <v>41913</v>
      </c>
      <c r="L1" s="90">
        <v>41944</v>
      </c>
      <c r="M1" s="90">
        <v>41974</v>
      </c>
      <c r="N1" s="91" t="s">
        <v>131</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100" t="s">
        <v>91</v>
      </c>
      <c r="B4" s="184">
        <f>173966</f>
        <v>173966</v>
      </c>
      <c r="C4" s="184">
        <v>186455</v>
      </c>
      <c r="D4" s="184">
        <v>137288</v>
      </c>
      <c r="E4" s="184">
        <v>79815</v>
      </c>
      <c r="F4" s="184">
        <v>24814</v>
      </c>
      <c r="G4" s="184">
        <v>16182</v>
      </c>
      <c r="H4" s="184">
        <v>16097</v>
      </c>
      <c r="I4" s="184">
        <v>13155</v>
      </c>
      <c r="J4" s="184">
        <v>27683</v>
      </c>
      <c r="K4" s="184">
        <v>81731</v>
      </c>
      <c r="L4" s="184">
        <v>129882</v>
      </c>
      <c r="M4" s="184">
        <f>171503</f>
        <v>171503</v>
      </c>
      <c r="N4" s="176">
        <f>SUM(B4:M4)</f>
        <v>1058571</v>
      </c>
    </row>
    <row r="5" spans="1:14">
      <c r="A5" s="101" t="s">
        <v>21</v>
      </c>
      <c r="B5" s="178">
        <f>47408</f>
        <v>47408</v>
      </c>
      <c r="C5" s="178">
        <v>50255</v>
      </c>
      <c r="D5" s="178">
        <v>41278</v>
      </c>
      <c r="E5" s="178">
        <v>20187</v>
      </c>
      <c r="F5" s="178">
        <v>710</v>
      </c>
      <c r="G5" s="178">
        <v>502</v>
      </c>
      <c r="H5" s="178">
        <v>289</v>
      </c>
      <c r="I5" s="178">
        <v>917</v>
      </c>
      <c r="J5" s="178">
        <v>2082</v>
      </c>
      <c r="K5" s="178">
        <v>25945</v>
      </c>
      <c r="L5" s="178">
        <v>40888</v>
      </c>
      <c r="M5" s="178">
        <f>53659</f>
        <v>53659</v>
      </c>
      <c r="N5" s="177">
        <f t="shared" ref="N5:N25" si="0">SUM(B5:M5)</f>
        <v>284120</v>
      </c>
    </row>
    <row r="6" spans="1:14">
      <c r="A6" s="83" t="s">
        <v>92</v>
      </c>
      <c r="B6" s="109">
        <f>1831</f>
        <v>1831</v>
      </c>
      <c r="C6" s="109">
        <v>1795</v>
      </c>
      <c r="D6" s="109">
        <v>1451</v>
      </c>
      <c r="E6" s="109">
        <v>1612</v>
      </c>
      <c r="F6" s="109">
        <v>1147</v>
      </c>
      <c r="G6" s="109">
        <v>1243</v>
      </c>
      <c r="H6" s="109">
        <v>566</v>
      </c>
      <c r="I6" s="109">
        <v>1209</v>
      </c>
      <c r="J6" s="109">
        <v>1539</v>
      </c>
      <c r="K6" s="109">
        <v>1032</v>
      </c>
      <c r="L6" s="178">
        <v>2417</v>
      </c>
      <c r="M6" s="178">
        <f>1584</f>
        <v>1584</v>
      </c>
      <c r="N6" s="177">
        <f t="shared" si="0"/>
        <v>17426</v>
      </c>
    </row>
    <row r="7" spans="1:14">
      <c r="A7" s="83" t="s">
        <v>2</v>
      </c>
      <c r="B7" s="109">
        <f>14493</f>
        <v>14493</v>
      </c>
      <c r="C7" s="109">
        <v>13471</v>
      </c>
      <c r="D7" s="109">
        <v>12343</v>
      </c>
      <c r="E7" s="109">
        <v>10061</v>
      </c>
      <c r="F7" s="109">
        <v>5948</v>
      </c>
      <c r="G7" s="109">
        <v>1781</v>
      </c>
      <c r="H7" s="109">
        <v>1604</v>
      </c>
      <c r="I7" s="109">
        <v>1280</v>
      </c>
      <c r="J7" s="109">
        <v>1803</v>
      </c>
      <c r="K7" s="109">
        <v>3936</v>
      </c>
      <c r="L7" s="178">
        <v>4513</v>
      </c>
      <c r="M7" s="178">
        <f>10289</f>
        <v>10289</v>
      </c>
      <c r="N7" s="177">
        <f t="shared" si="0"/>
        <v>81522</v>
      </c>
    </row>
    <row r="8" spans="1:14">
      <c r="A8" s="83" t="s">
        <v>69</v>
      </c>
      <c r="B8" s="109">
        <f>8989</f>
        <v>8989</v>
      </c>
      <c r="C8" s="109">
        <v>9729</v>
      </c>
      <c r="D8" s="109">
        <v>8519</v>
      </c>
      <c r="E8" s="109">
        <v>8583</v>
      </c>
      <c r="F8" s="109">
        <v>3480</v>
      </c>
      <c r="G8" s="109">
        <v>1666</v>
      </c>
      <c r="H8" s="109">
        <v>765</v>
      </c>
      <c r="I8" s="109">
        <v>1232</v>
      </c>
      <c r="J8" s="109">
        <v>442</v>
      </c>
      <c r="K8" s="109">
        <v>2670</v>
      </c>
      <c r="L8" s="178">
        <v>4544</v>
      </c>
      <c r="M8" s="178">
        <f>7366</f>
        <v>7366</v>
      </c>
      <c r="N8" s="177">
        <f t="shared" si="0"/>
        <v>57985</v>
      </c>
    </row>
    <row r="9" spans="1:14">
      <c r="A9" s="83" t="s">
        <v>70</v>
      </c>
      <c r="B9" s="109">
        <f>2518</f>
        <v>2518</v>
      </c>
      <c r="C9" s="109">
        <v>3108</v>
      </c>
      <c r="D9" s="109">
        <v>1604</v>
      </c>
      <c r="E9" s="109">
        <v>2447</v>
      </c>
      <c r="F9" s="109">
        <v>1199</v>
      </c>
      <c r="G9" s="109">
        <v>511</v>
      </c>
      <c r="H9" s="109">
        <v>303</v>
      </c>
      <c r="I9" s="109">
        <v>342</v>
      </c>
      <c r="J9" s="109">
        <v>284</v>
      </c>
      <c r="K9" s="109">
        <v>290</v>
      </c>
      <c r="L9" s="178">
        <v>554</v>
      </c>
      <c r="M9" s="178">
        <f>2255</f>
        <v>2255</v>
      </c>
      <c r="N9" s="177">
        <f t="shared" si="0"/>
        <v>15415</v>
      </c>
    </row>
    <row r="10" spans="1:14">
      <c r="A10" s="83" t="s">
        <v>71</v>
      </c>
      <c r="B10" s="109">
        <f>775</f>
        <v>775</v>
      </c>
      <c r="C10" s="109">
        <v>2685</v>
      </c>
      <c r="D10" s="109">
        <v>1203</v>
      </c>
      <c r="E10" s="109">
        <v>2203</v>
      </c>
      <c r="F10" s="109">
        <v>338</v>
      </c>
      <c r="G10" s="109">
        <v>779</v>
      </c>
      <c r="H10" s="109">
        <v>145</v>
      </c>
      <c r="I10" s="109">
        <v>707</v>
      </c>
      <c r="J10" s="109">
        <v>637</v>
      </c>
      <c r="K10" s="109">
        <v>1449</v>
      </c>
      <c r="L10" s="178">
        <v>1310</v>
      </c>
      <c r="M10" s="178">
        <f>1495</f>
        <v>1495</v>
      </c>
      <c r="N10" s="177">
        <f t="shared" si="0"/>
        <v>13726</v>
      </c>
    </row>
    <row r="11" spans="1:14">
      <c r="A11" s="83" t="s">
        <v>72</v>
      </c>
      <c r="B11" s="109">
        <f>2994</f>
        <v>2994</v>
      </c>
      <c r="C11" s="109">
        <v>2797</v>
      </c>
      <c r="D11" s="109">
        <v>2121</v>
      </c>
      <c r="E11" s="109">
        <v>2651</v>
      </c>
      <c r="F11" s="109">
        <v>1477</v>
      </c>
      <c r="G11" s="109">
        <v>1322</v>
      </c>
      <c r="H11" s="109">
        <v>1094</v>
      </c>
      <c r="I11" s="109">
        <v>1261</v>
      </c>
      <c r="J11" s="109">
        <v>1013</v>
      </c>
      <c r="K11" s="109">
        <v>1828</v>
      </c>
      <c r="L11" s="178">
        <v>3176</v>
      </c>
      <c r="M11" s="178">
        <f>2541</f>
        <v>2541</v>
      </c>
      <c r="N11" s="177">
        <f t="shared" si="0"/>
        <v>24275</v>
      </c>
    </row>
    <row r="12" spans="1:14">
      <c r="A12" s="83" t="s">
        <v>73</v>
      </c>
      <c r="B12" s="109">
        <f>3882</f>
        <v>3882</v>
      </c>
      <c r="C12" s="109">
        <v>4142</v>
      </c>
      <c r="D12" s="109">
        <v>4208</v>
      </c>
      <c r="E12" s="109">
        <v>3626</v>
      </c>
      <c r="F12" s="109">
        <v>1529</v>
      </c>
      <c r="G12" s="109">
        <v>426</v>
      </c>
      <c r="H12" s="109">
        <v>188</v>
      </c>
      <c r="I12" s="109">
        <v>255</v>
      </c>
      <c r="J12" s="109">
        <v>193</v>
      </c>
      <c r="K12" s="109">
        <v>487</v>
      </c>
      <c r="L12" s="178">
        <v>2706</v>
      </c>
      <c r="M12" s="178">
        <f>3293</f>
        <v>3293</v>
      </c>
      <c r="N12" s="177">
        <f t="shared" si="0"/>
        <v>24935</v>
      </c>
    </row>
    <row r="13" spans="1:14">
      <c r="A13" s="83" t="s">
        <v>74</v>
      </c>
      <c r="B13" s="109">
        <f>38170</f>
        <v>38170</v>
      </c>
      <c r="C13" s="109">
        <v>27752</v>
      </c>
      <c r="D13" s="109">
        <v>28537</v>
      </c>
      <c r="E13" s="109">
        <v>16779</v>
      </c>
      <c r="F13" s="109">
        <v>11769</v>
      </c>
      <c r="G13" s="109">
        <v>3877</v>
      </c>
      <c r="H13" s="109">
        <v>1449</v>
      </c>
      <c r="I13" s="109">
        <v>3215</v>
      </c>
      <c r="J13" s="109">
        <v>3421</v>
      </c>
      <c r="K13" s="109">
        <v>5376</v>
      </c>
      <c r="L13" s="178">
        <v>10472</v>
      </c>
      <c r="M13" s="178">
        <f>21593</f>
        <v>21593</v>
      </c>
      <c r="N13" s="177">
        <f t="shared" si="0"/>
        <v>172410</v>
      </c>
    </row>
    <row r="14" spans="1:14">
      <c r="A14" s="83" t="s">
        <v>75</v>
      </c>
      <c r="B14" s="109">
        <f>17494</f>
        <v>17494</v>
      </c>
      <c r="C14" s="109">
        <v>10973</v>
      </c>
      <c r="D14" s="109">
        <v>11594</v>
      </c>
      <c r="E14" s="109">
        <v>7703</v>
      </c>
      <c r="F14" s="109">
        <v>6544</v>
      </c>
      <c r="G14" s="109">
        <v>1061</v>
      </c>
      <c r="H14" s="109">
        <v>546</v>
      </c>
      <c r="I14" s="109">
        <v>712</v>
      </c>
      <c r="J14" s="109">
        <v>655</v>
      </c>
      <c r="K14" s="109">
        <v>976</v>
      </c>
      <c r="L14" s="178">
        <v>8702</v>
      </c>
      <c r="M14" s="178">
        <f>10252</f>
        <v>10252</v>
      </c>
      <c r="N14" s="177">
        <f t="shared" si="0"/>
        <v>77212</v>
      </c>
    </row>
    <row r="15" spans="1:14">
      <c r="A15" s="83" t="s">
        <v>22</v>
      </c>
      <c r="B15" s="109"/>
      <c r="C15" s="109"/>
      <c r="D15" s="109"/>
      <c r="E15" s="109"/>
      <c r="F15" s="109"/>
      <c r="G15" s="109"/>
      <c r="H15" s="109"/>
      <c r="I15" s="109"/>
      <c r="J15" s="109"/>
      <c r="K15" s="109"/>
      <c r="L15" s="178"/>
      <c r="M15" s="178"/>
      <c r="N15" s="177"/>
    </row>
    <row r="16" spans="1:14">
      <c r="A16" s="83" t="s">
        <v>76</v>
      </c>
      <c r="B16" s="109">
        <f>12258</f>
        <v>12258</v>
      </c>
      <c r="C16" s="109">
        <v>12568</v>
      </c>
      <c r="D16" s="109">
        <v>8533</v>
      </c>
      <c r="E16" s="109">
        <v>7708</v>
      </c>
      <c r="F16" s="109">
        <v>3458</v>
      </c>
      <c r="G16" s="109">
        <v>1286</v>
      </c>
      <c r="H16" s="109">
        <v>1122</v>
      </c>
      <c r="I16" s="109">
        <v>957</v>
      </c>
      <c r="J16" s="109">
        <v>349</v>
      </c>
      <c r="K16" s="109">
        <v>1761</v>
      </c>
      <c r="L16" s="178">
        <v>5180</v>
      </c>
      <c r="M16" s="178">
        <f>9110</f>
        <v>9110</v>
      </c>
      <c r="N16" s="177">
        <f t="shared" si="0"/>
        <v>64290</v>
      </c>
    </row>
    <row r="17" spans="1:14">
      <c r="A17" s="83" t="s">
        <v>77</v>
      </c>
      <c r="B17" s="109">
        <f>916</f>
        <v>916</v>
      </c>
      <c r="C17" s="109">
        <v>380</v>
      </c>
      <c r="D17" s="109">
        <v>746</v>
      </c>
      <c r="E17" s="109">
        <v>652</v>
      </c>
      <c r="F17" s="109">
        <v>481</v>
      </c>
      <c r="G17" s="109">
        <v>194</v>
      </c>
      <c r="H17" s="109">
        <v>320</v>
      </c>
      <c r="I17" s="109">
        <v>161</v>
      </c>
      <c r="J17" s="109">
        <v>76</v>
      </c>
      <c r="K17" s="109">
        <v>293</v>
      </c>
      <c r="L17" s="178">
        <v>391</v>
      </c>
      <c r="M17" s="178">
        <f>189</f>
        <v>189</v>
      </c>
      <c r="N17" s="177">
        <f t="shared" si="0"/>
        <v>4799</v>
      </c>
    </row>
    <row r="18" spans="1:14">
      <c r="A18" s="83" t="s">
        <v>78</v>
      </c>
      <c r="B18" s="109">
        <f>2016</f>
        <v>2016</v>
      </c>
      <c r="C18" s="109">
        <v>1981</v>
      </c>
      <c r="D18" s="109">
        <v>1347</v>
      </c>
      <c r="E18" s="109">
        <v>1208</v>
      </c>
      <c r="F18" s="109">
        <v>570</v>
      </c>
      <c r="G18" s="109">
        <v>240</v>
      </c>
      <c r="H18" s="109">
        <v>84</v>
      </c>
      <c r="I18" s="109">
        <v>190</v>
      </c>
      <c r="J18" s="109">
        <v>109</v>
      </c>
      <c r="K18" s="109">
        <v>276</v>
      </c>
      <c r="L18" s="178">
        <v>685</v>
      </c>
      <c r="M18" s="178">
        <f>1470</f>
        <v>1470</v>
      </c>
      <c r="N18" s="177">
        <f t="shared" si="0"/>
        <v>10176</v>
      </c>
    </row>
    <row r="19" spans="1:14">
      <c r="A19" s="25" t="s">
        <v>79</v>
      </c>
      <c r="B19" s="109">
        <f>16539</f>
        <v>16539</v>
      </c>
      <c r="C19" s="109">
        <v>17027</v>
      </c>
      <c r="D19" s="109">
        <v>13619</v>
      </c>
      <c r="E19" s="109">
        <v>6777</v>
      </c>
      <c r="F19" s="109">
        <v>253</v>
      </c>
      <c r="G19" s="109">
        <v>216</v>
      </c>
      <c r="H19" s="109">
        <v>284</v>
      </c>
      <c r="I19" s="109">
        <v>511</v>
      </c>
      <c r="J19" s="109">
        <v>2662</v>
      </c>
      <c r="K19" s="109">
        <v>9330</v>
      </c>
      <c r="L19" s="178">
        <v>12456</v>
      </c>
      <c r="M19" s="178">
        <f>17106</f>
        <v>17106</v>
      </c>
      <c r="N19" s="177">
        <f t="shared" si="0"/>
        <v>96780</v>
      </c>
    </row>
    <row r="20" spans="1:14">
      <c r="A20" s="25" t="s">
        <v>80</v>
      </c>
      <c r="B20" s="109">
        <f>2354</f>
        <v>2354</v>
      </c>
      <c r="C20" s="109">
        <v>2273</v>
      </c>
      <c r="D20" s="109">
        <v>1132</v>
      </c>
      <c r="E20" s="109">
        <v>764</v>
      </c>
      <c r="F20" s="109">
        <v>143</v>
      </c>
      <c r="G20" s="109">
        <v>85</v>
      </c>
      <c r="H20" s="109">
        <v>92</v>
      </c>
      <c r="I20" s="109">
        <v>84</v>
      </c>
      <c r="J20" s="109">
        <v>215</v>
      </c>
      <c r="K20" s="109">
        <v>319</v>
      </c>
      <c r="L20" s="178">
        <v>1474</v>
      </c>
      <c r="M20" s="178">
        <f>1540</f>
        <v>1540</v>
      </c>
      <c r="N20" s="177">
        <f t="shared" si="0"/>
        <v>10475</v>
      </c>
    </row>
    <row r="21" spans="1:14">
      <c r="A21" s="25" t="s">
        <v>81</v>
      </c>
      <c r="B21" s="109">
        <f>47843</f>
        <v>47843</v>
      </c>
      <c r="C21" s="109">
        <v>31382</v>
      </c>
      <c r="D21" s="109">
        <v>36123</v>
      </c>
      <c r="E21" s="109">
        <v>23042</v>
      </c>
      <c r="F21" s="109">
        <v>2331</v>
      </c>
      <c r="G21" s="109">
        <v>1877</v>
      </c>
      <c r="H21" s="109">
        <v>2449</v>
      </c>
      <c r="I21" s="109">
        <v>2124</v>
      </c>
      <c r="J21" s="109">
        <v>5994</v>
      </c>
      <c r="K21" s="109">
        <v>17055</v>
      </c>
      <c r="L21" s="178">
        <v>26880</v>
      </c>
      <c r="M21" s="178">
        <f>42477</f>
        <v>42477</v>
      </c>
      <c r="N21" s="177">
        <f t="shared" si="0"/>
        <v>239577</v>
      </c>
    </row>
    <row r="22" spans="1:14">
      <c r="A22" s="25" t="s">
        <v>23</v>
      </c>
      <c r="B22" s="109">
        <f>54897</f>
        <v>54897</v>
      </c>
      <c r="C22" s="109">
        <v>44755</v>
      </c>
      <c r="D22" s="109">
        <v>43605</v>
      </c>
      <c r="E22" s="109">
        <v>25688</v>
      </c>
      <c r="F22" s="109">
        <v>8402</v>
      </c>
      <c r="G22" s="109">
        <v>5402</v>
      </c>
      <c r="H22" s="109">
        <v>5677</v>
      </c>
      <c r="I22" s="109">
        <v>5589</v>
      </c>
      <c r="J22" s="109">
        <v>11674</v>
      </c>
      <c r="K22" s="109">
        <v>17252</v>
      </c>
      <c r="L22" s="178">
        <v>35135</v>
      </c>
      <c r="M22" s="178">
        <f>41129</f>
        <v>41129</v>
      </c>
      <c r="N22" s="177">
        <f t="shared" si="0"/>
        <v>299205</v>
      </c>
    </row>
    <row r="23" spans="1:14">
      <c r="A23" s="25" t="s">
        <v>82</v>
      </c>
      <c r="B23" s="109">
        <f>74367</f>
        <v>74367</v>
      </c>
      <c r="C23" s="109">
        <v>60877</v>
      </c>
      <c r="D23" s="109">
        <v>61134</v>
      </c>
      <c r="E23" s="109">
        <v>45789</v>
      </c>
      <c r="F23" s="109">
        <v>21636</v>
      </c>
      <c r="G23" s="109">
        <v>14892</v>
      </c>
      <c r="H23" s="109">
        <v>17279</v>
      </c>
      <c r="I23" s="109">
        <v>15533</v>
      </c>
      <c r="J23" s="109">
        <v>19874</v>
      </c>
      <c r="K23" s="109">
        <v>32248</v>
      </c>
      <c r="L23" s="178">
        <v>52660</v>
      </c>
      <c r="M23" s="178">
        <f>72374</f>
        <v>72374</v>
      </c>
      <c r="N23" s="177">
        <f t="shared" si="0"/>
        <v>488663</v>
      </c>
    </row>
    <row r="24" spans="1:14" ht="15.75" thickBot="1">
      <c r="A24" s="104" t="s">
        <v>24</v>
      </c>
      <c r="B24" s="223">
        <f>34336</f>
        <v>34336</v>
      </c>
      <c r="C24" s="223">
        <v>27192</v>
      </c>
      <c r="D24" s="223">
        <v>25799</v>
      </c>
      <c r="E24" s="223">
        <v>19929</v>
      </c>
      <c r="F24" s="223">
        <v>11352</v>
      </c>
      <c r="G24" s="223">
        <v>8846</v>
      </c>
      <c r="H24" s="223">
        <v>9585</v>
      </c>
      <c r="I24" s="223">
        <v>8846</v>
      </c>
      <c r="J24" s="223">
        <v>11037</v>
      </c>
      <c r="K24" s="223">
        <v>15468</v>
      </c>
      <c r="L24" s="179">
        <v>20387</v>
      </c>
      <c r="M24" s="179">
        <f>26103</f>
        <v>26103</v>
      </c>
      <c r="N24" s="180">
        <f t="shared" si="0"/>
        <v>218880</v>
      </c>
    </row>
    <row r="25" spans="1:14" ht="16.5" thickTop="1" thickBot="1">
      <c r="A25" s="84" t="s">
        <v>45</v>
      </c>
      <c r="B25" s="218">
        <f t="shared" ref="B25:M25" si="1">SUM(B4:B24)</f>
        <v>558046</v>
      </c>
      <c r="C25" s="218">
        <f t="shared" si="1"/>
        <v>511597</v>
      </c>
      <c r="D25" s="218">
        <f t="shared" si="1"/>
        <v>442184</v>
      </c>
      <c r="E25" s="218">
        <f t="shared" si="1"/>
        <v>287224</v>
      </c>
      <c r="F25" s="218">
        <f t="shared" si="1"/>
        <v>107581</v>
      </c>
      <c r="G25" s="218">
        <f t="shared" si="1"/>
        <v>62388</v>
      </c>
      <c r="H25" s="218">
        <f t="shared" si="1"/>
        <v>59938</v>
      </c>
      <c r="I25" s="218">
        <f t="shared" si="1"/>
        <v>58280</v>
      </c>
      <c r="J25" s="218">
        <f t="shared" si="1"/>
        <v>91742</v>
      </c>
      <c r="K25" s="218">
        <f t="shared" si="1"/>
        <v>219722</v>
      </c>
      <c r="L25" s="218">
        <f t="shared" si="1"/>
        <v>364412</v>
      </c>
      <c r="M25" s="218">
        <f t="shared" si="1"/>
        <v>497328</v>
      </c>
      <c r="N25" s="219">
        <f t="shared" si="0"/>
        <v>3260442</v>
      </c>
    </row>
    <row r="26" spans="1:14">
      <c r="A26" s="6"/>
      <c r="B26" s="182"/>
      <c r="C26" s="182"/>
      <c r="D26" s="182"/>
      <c r="E26" s="182"/>
      <c r="F26" s="182"/>
      <c r="G26" s="182"/>
      <c r="H26" s="182"/>
      <c r="I26" s="182"/>
      <c r="J26" s="182"/>
      <c r="K26" s="182"/>
      <c r="L26" s="182"/>
      <c r="M26" s="182"/>
      <c r="N26" s="183"/>
    </row>
    <row r="27" spans="1:14" ht="15.75" thickBot="1">
      <c r="A27" s="6" t="s">
        <v>15</v>
      </c>
      <c r="B27" s="182"/>
      <c r="C27" s="182"/>
      <c r="D27" s="182"/>
      <c r="E27" s="182"/>
      <c r="F27" s="182"/>
      <c r="G27" s="182"/>
      <c r="H27" s="182"/>
      <c r="I27" s="182"/>
      <c r="J27" s="182"/>
      <c r="K27" s="182"/>
      <c r="L27" s="182"/>
      <c r="M27" s="182"/>
      <c r="N27" s="183"/>
    </row>
    <row r="28" spans="1:14">
      <c r="A28" s="5" t="s">
        <v>85</v>
      </c>
      <c r="B28" s="222">
        <f>1755</f>
        <v>1755</v>
      </c>
      <c r="C28" s="222">
        <v>2209</v>
      </c>
      <c r="D28" s="222">
        <v>1987</v>
      </c>
      <c r="E28" s="222">
        <v>1346</v>
      </c>
      <c r="F28" s="222">
        <v>364</v>
      </c>
      <c r="G28" s="222">
        <v>64</v>
      </c>
      <c r="H28" s="222">
        <v>295</v>
      </c>
      <c r="I28" s="222">
        <v>62</v>
      </c>
      <c r="J28" s="222">
        <v>216</v>
      </c>
      <c r="K28" s="222">
        <v>260</v>
      </c>
      <c r="L28" s="184">
        <v>902</v>
      </c>
      <c r="M28" s="184">
        <f>1356</f>
        <v>1356</v>
      </c>
      <c r="N28" s="176">
        <f>SUM(B28:M28)</f>
        <v>10816</v>
      </c>
    </row>
    <row r="29" spans="1:14">
      <c r="A29" s="3" t="s">
        <v>86</v>
      </c>
      <c r="B29" s="109">
        <f>1457</f>
        <v>1457</v>
      </c>
      <c r="C29" s="109">
        <v>1069</v>
      </c>
      <c r="D29" s="109">
        <v>821</v>
      </c>
      <c r="E29" s="109">
        <v>268</v>
      </c>
      <c r="F29" s="109">
        <v>68</v>
      </c>
      <c r="G29" s="109">
        <v>36</v>
      </c>
      <c r="H29" s="109">
        <v>67</v>
      </c>
      <c r="I29" s="109">
        <v>25</v>
      </c>
      <c r="J29" s="109">
        <v>185</v>
      </c>
      <c r="K29" s="109">
        <v>526</v>
      </c>
      <c r="L29" s="178">
        <v>1029</v>
      </c>
      <c r="M29" s="178">
        <f>825</f>
        <v>825</v>
      </c>
      <c r="N29" s="177">
        <f t="shared" ref="N29:N34" si="2">SUM(B29:M29)</f>
        <v>6376</v>
      </c>
    </row>
    <row r="30" spans="1:14">
      <c r="A30" s="3" t="s">
        <v>87</v>
      </c>
      <c r="B30" s="109">
        <f>3334</f>
        <v>3334</v>
      </c>
      <c r="C30" s="109">
        <v>3193</v>
      </c>
      <c r="D30" s="109">
        <v>2752</v>
      </c>
      <c r="E30" s="109">
        <v>2066</v>
      </c>
      <c r="F30" s="109">
        <v>520</v>
      </c>
      <c r="G30" s="109">
        <v>0</v>
      </c>
      <c r="H30" s="109">
        <v>0</v>
      </c>
      <c r="I30" s="109">
        <v>93</v>
      </c>
      <c r="J30" s="109">
        <v>0</v>
      </c>
      <c r="K30" s="109">
        <v>442</v>
      </c>
      <c r="L30" s="178">
        <v>1896</v>
      </c>
      <c r="M30" s="178">
        <f>2276</f>
        <v>2276</v>
      </c>
      <c r="N30" s="177">
        <f t="shared" si="2"/>
        <v>16572</v>
      </c>
    </row>
    <row r="31" spans="1:14">
      <c r="A31" s="3" t="s">
        <v>88</v>
      </c>
      <c r="B31" s="109">
        <f>2019</f>
        <v>2019</v>
      </c>
      <c r="C31" s="109">
        <v>2010</v>
      </c>
      <c r="D31" s="109">
        <v>2069</v>
      </c>
      <c r="E31" s="109">
        <v>1253</v>
      </c>
      <c r="F31" s="109">
        <v>503</v>
      </c>
      <c r="G31" s="109">
        <v>0</v>
      </c>
      <c r="H31" s="109">
        <v>0</v>
      </c>
      <c r="I31" s="109">
        <v>57</v>
      </c>
      <c r="J31" s="109">
        <v>0</v>
      </c>
      <c r="K31" s="109">
        <v>281</v>
      </c>
      <c r="L31" s="178">
        <v>927</v>
      </c>
      <c r="M31" s="178">
        <f>1376</f>
        <v>1376</v>
      </c>
      <c r="N31" s="177">
        <f t="shared" si="2"/>
        <v>10495</v>
      </c>
    </row>
    <row r="32" spans="1:14">
      <c r="A32" s="3" t="s">
        <v>89</v>
      </c>
      <c r="B32" s="109">
        <f>1156</f>
        <v>1156</v>
      </c>
      <c r="C32" s="109">
        <v>1003</v>
      </c>
      <c r="D32" s="109">
        <v>953</v>
      </c>
      <c r="E32" s="109">
        <v>619</v>
      </c>
      <c r="F32" s="109">
        <v>277</v>
      </c>
      <c r="G32" s="109">
        <v>53</v>
      </c>
      <c r="H32" s="109">
        <v>28</v>
      </c>
      <c r="I32" s="109">
        <v>52</v>
      </c>
      <c r="J32" s="109">
        <v>28</v>
      </c>
      <c r="K32" s="109">
        <v>157</v>
      </c>
      <c r="L32" s="178">
        <v>434</v>
      </c>
      <c r="M32" s="178">
        <f>742</f>
        <v>742</v>
      </c>
      <c r="N32" s="177">
        <f t="shared" si="2"/>
        <v>5502</v>
      </c>
    </row>
    <row r="33" spans="1:14" ht="15.75" thickBot="1">
      <c r="A33" s="3" t="s">
        <v>90</v>
      </c>
      <c r="B33" s="223">
        <f>384</f>
        <v>384</v>
      </c>
      <c r="C33" s="223">
        <v>558</v>
      </c>
      <c r="D33" s="223">
        <v>366</v>
      </c>
      <c r="E33" s="223">
        <v>417</v>
      </c>
      <c r="F33" s="223">
        <v>361</v>
      </c>
      <c r="G33" s="223">
        <v>295</v>
      </c>
      <c r="H33" s="223">
        <v>309</v>
      </c>
      <c r="I33" s="223">
        <v>281</v>
      </c>
      <c r="J33" s="223">
        <v>310</v>
      </c>
      <c r="K33" s="223">
        <v>355</v>
      </c>
      <c r="L33" s="179">
        <v>303</v>
      </c>
      <c r="M33" s="179">
        <f>373</f>
        <v>373</v>
      </c>
      <c r="N33" s="180">
        <f t="shared" si="2"/>
        <v>4312</v>
      </c>
    </row>
    <row r="34" spans="1:14" ht="16.5" thickTop="1" thickBot="1">
      <c r="A34" s="84" t="s">
        <v>46</v>
      </c>
      <c r="B34" s="218">
        <f>SUM(B28:B33)</f>
        <v>10105</v>
      </c>
      <c r="C34" s="218">
        <f t="shared" ref="C34:M34" si="3">SUM(C28:C33)</f>
        <v>10042</v>
      </c>
      <c r="D34" s="218">
        <f t="shared" si="3"/>
        <v>8948</v>
      </c>
      <c r="E34" s="218">
        <f t="shared" si="3"/>
        <v>5969</v>
      </c>
      <c r="F34" s="218">
        <f t="shared" si="3"/>
        <v>2093</v>
      </c>
      <c r="G34" s="218">
        <f t="shared" si="3"/>
        <v>448</v>
      </c>
      <c r="H34" s="218">
        <f t="shared" si="3"/>
        <v>699</v>
      </c>
      <c r="I34" s="218">
        <f t="shared" si="3"/>
        <v>570</v>
      </c>
      <c r="J34" s="218">
        <f t="shared" si="3"/>
        <v>739</v>
      </c>
      <c r="K34" s="218">
        <f t="shared" si="3"/>
        <v>2021</v>
      </c>
      <c r="L34" s="218">
        <f t="shared" si="3"/>
        <v>5491</v>
      </c>
      <c r="M34" s="218">
        <f t="shared" si="3"/>
        <v>6948</v>
      </c>
      <c r="N34" s="219">
        <f t="shared" si="2"/>
        <v>54073</v>
      </c>
    </row>
    <row r="35" spans="1:14" ht="15.75" thickBot="1">
      <c r="A35" s="74"/>
      <c r="B35" s="159"/>
      <c r="C35" s="159"/>
      <c r="D35" s="159"/>
      <c r="E35" s="159"/>
      <c r="F35" s="159"/>
      <c r="G35" s="159"/>
      <c r="H35" s="159"/>
      <c r="I35" s="159"/>
      <c r="J35" s="159"/>
      <c r="K35" s="159"/>
      <c r="L35" s="159"/>
      <c r="M35" s="159"/>
      <c r="N35" s="159"/>
    </row>
    <row r="36" spans="1:14" ht="15.75" thickBot="1">
      <c r="A36" s="103" t="s">
        <v>20</v>
      </c>
      <c r="B36" s="227">
        <f>20257</f>
        <v>20257</v>
      </c>
      <c r="C36" s="227">
        <v>16160</v>
      </c>
      <c r="D36" s="227">
        <v>14210</v>
      </c>
      <c r="E36" s="227">
        <v>6434</v>
      </c>
      <c r="F36" s="227">
        <v>1739</v>
      </c>
      <c r="G36" s="227">
        <v>416</v>
      </c>
      <c r="H36" s="227">
        <v>290</v>
      </c>
      <c r="I36" s="227">
        <v>410</v>
      </c>
      <c r="J36" s="227">
        <v>849</v>
      </c>
      <c r="K36" s="227">
        <v>4430</v>
      </c>
      <c r="L36" s="227">
        <v>12282</v>
      </c>
      <c r="M36" s="227">
        <f>13091</f>
        <v>13091</v>
      </c>
      <c r="N36" s="228">
        <f>SUM(B36:M36)</f>
        <v>90568</v>
      </c>
    </row>
    <row r="37" spans="1:14" ht="15.75" thickBot="1">
      <c r="A37" s="74"/>
      <c r="B37" s="159"/>
      <c r="C37" s="159"/>
      <c r="D37" s="159"/>
      <c r="E37" s="159"/>
      <c r="F37" s="159"/>
      <c r="G37" s="159"/>
      <c r="H37" s="159"/>
      <c r="I37" s="159"/>
      <c r="J37" s="159"/>
      <c r="K37" s="159"/>
      <c r="L37" s="159"/>
      <c r="M37" s="159"/>
      <c r="N37" s="159"/>
    </row>
    <row r="38" spans="1:14" ht="30.75" thickBot="1">
      <c r="A38" s="102" t="s">
        <v>61</v>
      </c>
      <c r="B38" s="224">
        <f>B25+B34+B36</f>
        <v>588408</v>
      </c>
      <c r="C38" s="224">
        <f t="shared" ref="C38:N38" si="4">C25+C34+C36</f>
        <v>537799</v>
      </c>
      <c r="D38" s="224">
        <f t="shared" si="4"/>
        <v>465342</v>
      </c>
      <c r="E38" s="224">
        <f t="shared" si="4"/>
        <v>299627</v>
      </c>
      <c r="F38" s="224">
        <f t="shared" si="4"/>
        <v>111413</v>
      </c>
      <c r="G38" s="224">
        <f t="shared" si="4"/>
        <v>63252</v>
      </c>
      <c r="H38" s="224">
        <f t="shared" si="4"/>
        <v>60927</v>
      </c>
      <c r="I38" s="224">
        <f t="shared" si="4"/>
        <v>59260</v>
      </c>
      <c r="J38" s="224">
        <f t="shared" si="4"/>
        <v>93330</v>
      </c>
      <c r="K38" s="224">
        <f t="shared" si="4"/>
        <v>226173</v>
      </c>
      <c r="L38" s="224">
        <f t="shared" si="4"/>
        <v>382185</v>
      </c>
      <c r="M38" s="224">
        <f t="shared" si="4"/>
        <v>517367</v>
      </c>
      <c r="N38" s="224">
        <f t="shared" si="4"/>
        <v>3405083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38"/>
  <sheetViews>
    <sheetView showGridLines="0" workbookViewId="0">
      <selection activeCell="A22" sqref="A22:N22"/>
    </sheetView>
  </sheetViews>
  <sheetFormatPr defaultColWidth="8.85546875" defaultRowHeight="15"/>
  <cols>
    <col min="1" max="1" width="28.140625" customWidth="1"/>
    <col min="14" max="14" width="10.28515625" customWidth="1"/>
  </cols>
  <sheetData>
    <row r="1" spans="1:14" ht="17.25" thickBot="1">
      <c r="A1" s="82" t="s">
        <v>0</v>
      </c>
      <c r="B1" s="90">
        <v>42005</v>
      </c>
      <c r="C1" s="90">
        <v>42036</v>
      </c>
      <c r="D1" s="90">
        <v>42064</v>
      </c>
      <c r="E1" s="90">
        <v>42095</v>
      </c>
      <c r="F1" s="90">
        <v>42125</v>
      </c>
      <c r="G1" s="90">
        <v>42156</v>
      </c>
      <c r="H1" s="90">
        <v>42186</v>
      </c>
      <c r="I1" s="90">
        <v>42217</v>
      </c>
      <c r="J1" s="90">
        <v>42248</v>
      </c>
      <c r="K1" s="90">
        <v>42278</v>
      </c>
      <c r="L1" s="90">
        <v>42309</v>
      </c>
      <c r="M1" s="90">
        <v>42339</v>
      </c>
      <c r="N1" s="9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
      <c r="A4" s="100" t="s">
        <v>91</v>
      </c>
      <c r="B4" s="184">
        <v>176148</v>
      </c>
      <c r="C4" s="184">
        <v>189705</v>
      </c>
      <c r="D4" s="184">
        <v>115698</v>
      </c>
      <c r="E4" s="184">
        <v>55530</v>
      </c>
      <c r="F4" s="184">
        <v>27705</v>
      </c>
      <c r="G4" s="184">
        <v>14412</v>
      </c>
      <c r="H4" s="184">
        <v>14148</v>
      </c>
      <c r="I4" s="184">
        <v>20293</v>
      </c>
      <c r="J4" s="184">
        <v>36273</v>
      </c>
      <c r="K4" s="184">
        <v>79830</v>
      </c>
      <c r="L4" s="184">
        <v>103149</v>
      </c>
      <c r="M4" s="184">
        <v>136112</v>
      </c>
      <c r="N4" s="176">
        <f>SUM(B4:M4)</f>
        <v>969003</v>
      </c>
    </row>
    <row r="5" spans="1:14">
      <c r="A5" s="101" t="s">
        <v>21</v>
      </c>
      <c r="B5" s="178">
        <v>51636</v>
      </c>
      <c r="C5" s="178">
        <v>55720</v>
      </c>
      <c r="D5" s="178">
        <v>40968</v>
      </c>
      <c r="E5" s="178">
        <v>17676</v>
      </c>
      <c r="F5" s="178">
        <v>2443</v>
      </c>
      <c r="G5" s="178">
        <v>2457</v>
      </c>
      <c r="H5" s="178">
        <v>1803</v>
      </c>
      <c r="I5" s="178">
        <v>1042</v>
      </c>
      <c r="J5" s="178">
        <v>2181</v>
      </c>
      <c r="K5" s="178">
        <v>17465</v>
      </c>
      <c r="L5" s="178">
        <v>26678</v>
      </c>
      <c r="M5" s="178">
        <v>38375</v>
      </c>
      <c r="N5" s="177">
        <f t="shared" ref="N5:N33" si="0">SUM(B5:M5)</f>
        <v>258444</v>
      </c>
    </row>
    <row r="6" spans="1:14">
      <c r="A6" s="83" t="s">
        <v>92</v>
      </c>
      <c r="B6" s="109">
        <v>920</v>
      </c>
      <c r="C6" s="109">
        <v>1646</v>
      </c>
      <c r="D6" s="109">
        <v>1577</v>
      </c>
      <c r="E6" s="109">
        <v>1457</v>
      </c>
      <c r="F6" s="109">
        <v>1427</v>
      </c>
      <c r="G6" s="110">
        <v>575</v>
      </c>
      <c r="H6" s="109">
        <v>525</v>
      </c>
      <c r="I6" s="109">
        <v>161</v>
      </c>
      <c r="J6" s="109">
        <v>132</v>
      </c>
      <c r="K6" s="109">
        <v>1706</v>
      </c>
      <c r="L6" s="178">
        <v>53</v>
      </c>
      <c r="M6" s="178">
        <v>827</v>
      </c>
      <c r="N6" s="177">
        <f t="shared" si="0"/>
        <v>11006</v>
      </c>
    </row>
    <row r="7" spans="1:14">
      <c r="A7" s="83" t="s">
        <v>2</v>
      </c>
      <c r="B7" s="109">
        <v>13524</v>
      </c>
      <c r="C7" s="109">
        <v>13412</v>
      </c>
      <c r="D7" s="109">
        <v>14433</v>
      </c>
      <c r="E7" s="109">
        <v>9808</v>
      </c>
      <c r="F7" s="109">
        <v>3123</v>
      </c>
      <c r="G7" s="109">
        <v>2051</v>
      </c>
      <c r="H7" s="109">
        <v>1674</v>
      </c>
      <c r="I7" s="109">
        <v>796</v>
      </c>
      <c r="J7" s="109">
        <v>2605</v>
      </c>
      <c r="K7" s="109">
        <v>3300</v>
      </c>
      <c r="L7" s="178">
        <v>5438</v>
      </c>
      <c r="M7" s="178">
        <v>7664</v>
      </c>
      <c r="N7" s="177">
        <f t="shared" si="0"/>
        <v>77828</v>
      </c>
    </row>
    <row r="8" spans="1:14">
      <c r="A8" s="83" t="s">
        <v>69</v>
      </c>
      <c r="B8" s="109">
        <v>8772</v>
      </c>
      <c r="C8" s="109">
        <v>9473</v>
      </c>
      <c r="D8" s="109">
        <v>9110</v>
      </c>
      <c r="E8" s="109">
        <v>7346</v>
      </c>
      <c r="F8" s="109">
        <v>3646</v>
      </c>
      <c r="G8" s="109">
        <v>1691</v>
      </c>
      <c r="H8" s="109">
        <v>1449</v>
      </c>
      <c r="I8" s="109">
        <v>821</v>
      </c>
      <c r="J8" s="109">
        <v>363</v>
      </c>
      <c r="K8" s="109">
        <v>2090</v>
      </c>
      <c r="L8" s="178">
        <v>5641</v>
      </c>
      <c r="M8" s="178">
        <v>5270</v>
      </c>
      <c r="N8" s="177">
        <f t="shared" si="0"/>
        <v>55672</v>
      </c>
    </row>
    <row r="9" spans="1:14">
      <c r="A9" s="83" t="s">
        <v>70</v>
      </c>
      <c r="B9" s="109">
        <v>857</v>
      </c>
      <c r="C9" s="109">
        <v>2356</v>
      </c>
      <c r="D9" s="109">
        <v>2141</v>
      </c>
      <c r="E9" s="109">
        <v>1853</v>
      </c>
      <c r="F9" s="109">
        <v>1609</v>
      </c>
      <c r="G9" s="109">
        <v>433</v>
      </c>
      <c r="H9" s="109">
        <v>524</v>
      </c>
      <c r="I9" s="109">
        <v>343</v>
      </c>
      <c r="J9" s="109">
        <v>833</v>
      </c>
      <c r="K9" s="109">
        <v>292</v>
      </c>
      <c r="L9" s="178">
        <v>2991</v>
      </c>
      <c r="M9" s="178">
        <v>801</v>
      </c>
      <c r="N9" s="177">
        <f t="shared" si="0"/>
        <v>15033</v>
      </c>
    </row>
    <row r="10" spans="1:14">
      <c r="A10" s="83" t="s">
        <v>71</v>
      </c>
      <c r="B10" s="109">
        <v>1128</v>
      </c>
      <c r="C10" s="109">
        <v>1944</v>
      </c>
      <c r="D10" s="109">
        <v>1218</v>
      </c>
      <c r="E10" s="109">
        <v>1291</v>
      </c>
      <c r="F10" s="109">
        <f>445+2064</f>
        <v>2509</v>
      </c>
      <c r="G10" s="109">
        <v>492</v>
      </c>
      <c r="H10" s="109">
        <v>760</v>
      </c>
      <c r="I10" s="109">
        <v>737</v>
      </c>
      <c r="J10" s="109">
        <v>588</v>
      </c>
      <c r="K10" s="109">
        <v>1449</v>
      </c>
      <c r="L10" s="178">
        <v>2392</v>
      </c>
      <c r="M10" s="178">
        <v>1208</v>
      </c>
      <c r="N10" s="177">
        <f t="shared" si="0"/>
        <v>15716</v>
      </c>
    </row>
    <row r="11" spans="1:14">
      <c r="A11" s="83" t="s">
        <v>72</v>
      </c>
      <c r="B11" s="109">
        <v>1578</v>
      </c>
      <c r="C11" s="109">
        <v>2521</v>
      </c>
      <c r="D11" s="109">
        <v>1772</v>
      </c>
      <c r="E11" s="109">
        <v>2330</v>
      </c>
      <c r="F11" s="109">
        <v>836</v>
      </c>
      <c r="G11" s="109">
        <v>1249</v>
      </c>
      <c r="H11" s="109">
        <v>1224</v>
      </c>
      <c r="I11" s="109">
        <v>1168</v>
      </c>
      <c r="J11" s="109">
        <v>791</v>
      </c>
      <c r="K11" s="109">
        <v>1787</v>
      </c>
      <c r="L11" s="178">
        <v>2974</v>
      </c>
      <c r="M11" s="178">
        <v>1606</v>
      </c>
      <c r="N11" s="177">
        <f t="shared" si="0"/>
        <v>19836</v>
      </c>
    </row>
    <row r="12" spans="1:14">
      <c r="A12" s="83" t="s">
        <v>73</v>
      </c>
      <c r="B12" s="109">
        <v>3873</v>
      </c>
      <c r="C12" s="109">
        <v>4344</v>
      </c>
      <c r="D12" s="109">
        <v>3257</v>
      </c>
      <c r="E12" s="109">
        <v>3189</v>
      </c>
      <c r="F12" s="109">
        <v>839</v>
      </c>
      <c r="G12" s="109">
        <v>493</v>
      </c>
      <c r="H12" s="109">
        <v>245</v>
      </c>
      <c r="I12" s="109">
        <v>109</v>
      </c>
      <c r="J12" s="109">
        <v>60</v>
      </c>
      <c r="K12" s="109">
        <v>730</v>
      </c>
      <c r="L12" s="178">
        <v>2357</v>
      </c>
      <c r="M12" s="178">
        <v>2267</v>
      </c>
      <c r="N12" s="177">
        <f t="shared" si="0"/>
        <v>21763</v>
      </c>
    </row>
    <row r="13" spans="1:14">
      <c r="A13" s="83" t="s">
        <v>74</v>
      </c>
      <c r="B13" s="109">
        <v>16704</v>
      </c>
      <c r="C13" s="109">
        <v>29218</v>
      </c>
      <c r="D13" s="109">
        <v>16948</v>
      </c>
      <c r="E13" s="109">
        <v>17258</v>
      </c>
      <c r="F13" s="109">
        <v>3081</v>
      </c>
      <c r="G13" s="109">
        <v>4403</v>
      </c>
      <c r="H13" s="109">
        <v>3261</v>
      </c>
      <c r="I13" s="109">
        <v>2555</v>
      </c>
      <c r="J13" s="109">
        <v>2318</v>
      </c>
      <c r="K13" s="109">
        <v>6049</v>
      </c>
      <c r="L13" s="178">
        <v>9633</v>
      </c>
      <c r="M13" s="178">
        <v>12672</v>
      </c>
      <c r="N13" s="177">
        <f t="shared" si="0"/>
        <v>124100</v>
      </c>
    </row>
    <row r="14" spans="1:14">
      <c r="A14" s="83" t="s">
        <v>75</v>
      </c>
      <c r="B14" s="109">
        <v>10922</v>
      </c>
      <c r="C14" s="109">
        <v>11735</v>
      </c>
      <c r="D14" s="109">
        <v>13302</v>
      </c>
      <c r="E14" s="109">
        <v>8787</v>
      </c>
      <c r="F14" s="109">
        <v>1955</v>
      </c>
      <c r="G14" s="110">
        <v>959</v>
      </c>
      <c r="H14" s="109">
        <v>459</v>
      </c>
      <c r="I14" s="109">
        <v>427</v>
      </c>
      <c r="J14" s="109">
        <v>113</v>
      </c>
      <c r="K14" s="109">
        <v>2195</v>
      </c>
      <c r="L14" s="178">
        <v>5483</v>
      </c>
      <c r="M14" s="178">
        <v>6705</v>
      </c>
      <c r="N14" s="177">
        <f t="shared" si="0"/>
        <v>63042</v>
      </c>
    </row>
    <row r="15" spans="1:14">
      <c r="A15" s="83" t="s">
        <v>22</v>
      </c>
      <c r="B15" s="109">
        <v>1236</v>
      </c>
      <c r="C15" s="109">
        <v>950</v>
      </c>
      <c r="D15" s="109">
        <v>1245</v>
      </c>
      <c r="E15" s="109">
        <v>567</v>
      </c>
      <c r="F15" s="109">
        <v>396</v>
      </c>
      <c r="G15" s="109">
        <v>109</v>
      </c>
      <c r="H15" s="109">
        <v>41</v>
      </c>
      <c r="I15" s="109">
        <v>44</v>
      </c>
      <c r="J15" s="109">
        <v>78</v>
      </c>
      <c r="K15" s="109">
        <v>85</v>
      </c>
      <c r="L15" s="178">
        <v>288</v>
      </c>
      <c r="M15" s="178">
        <v>582</v>
      </c>
      <c r="N15" s="177">
        <f t="shared" si="0"/>
        <v>5621</v>
      </c>
    </row>
    <row r="16" spans="1:14">
      <c r="A16" s="83" t="s">
        <v>76</v>
      </c>
      <c r="B16" s="109">
        <v>10694</v>
      </c>
      <c r="C16" s="109">
        <v>10964</v>
      </c>
      <c r="D16" s="109">
        <v>14062</v>
      </c>
      <c r="E16" s="109">
        <v>6823</v>
      </c>
      <c r="F16" s="109">
        <v>3686</v>
      </c>
      <c r="G16" s="110">
        <v>321</v>
      </c>
      <c r="H16" s="109">
        <v>295</v>
      </c>
      <c r="I16" s="109">
        <v>0</v>
      </c>
      <c r="J16" s="109">
        <v>0</v>
      </c>
      <c r="K16" s="109">
        <v>1905</v>
      </c>
      <c r="L16" s="178">
        <v>5737</v>
      </c>
      <c r="M16" s="178">
        <v>6195</v>
      </c>
      <c r="N16" s="177">
        <f t="shared" si="0"/>
        <v>60682</v>
      </c>
    </row>
    <row r="17" spans="1:14">
      <c r="A17" s="83" t="s">
        <v>77</v>
      </c>
      <c r="B17" s="109">
        <v>470</v>
      </c>
      <c r="C17" s="109">
        <v>582</v>
      </c>
      <c r="D17" s="109">
        <v>48</v>
      </c>
      <c r="E17" s="109">
        <v>681</v>
      </c>
      <c r="F17" s="109">
        <v>445</v>
      </c>
      <c r="G17" s="109">
        <v>21</v>
      </c>
      <c r="H17" s="109">
        <v>186</v>
      </c>
      <c r="I17" s="109">
        <v>129</v>
      </c>
      <c r="J17" s="109">
        <v>239</v>
      </c>
      <c r="K17" s="109">
        <v>214</v>
      </c>
      <c r="L17" s="178">
        <v>391</v>
      </c>
      <c r="M17" s="178">
        <v>262</v>
      </c>
      <c r="N17" s="177">
        <f t="shared" si="0"/>
        <v>3668</v>
      </c>
    </row>
    <row r="18" spans="1:14">
      <c r="A18" s="83" t="s">
        <v>78</v>
      </c>
      <c r="B18" s="109">
        <v>2215</v>
      </c>
      <c r="C18" s="109">
        <v>1727</v>
      </c>
      <c r="D18" s="109">
        <v>2470</v>
      </c>
      <c r="E18" s="109">
        <v>1073</v>
      </c>
      <c r="F18" s="109">
        <v>556</v>
      </c>
      <c r="G18" s="109">
        <v>278</v>
      </c>
      <c r="H18" s="109">
        <v>120</v>
      </c>
      <c r="I18" s="109">
        <v>166</v>
      </c>
      <c r="J18" s="109">
        <v>136</v>
      </c>
      <c r="K18" s="109">
        <v>291</v>
      </c>
      <c r="L18" s="178">
        <v>837</v>
      </c>
      <c r="M18" s="178">
        <v>1199</v>
      </c>
      <c r="N18" s="177">
        <f t="shared" si="0"/>
        <v>11068</v>
      </c>
    </row>
    <row r="19" spans="1:14">
      <c r="A19" s="25" t="s">
        <v>79</v>
      </c>
      <c r="B19" s="109">
        <v>16827</v>
      </c>
      <c r="C19" s="109">
        <v>18075</v>
      </c>
      <c r="D19" s="109">
        <v>13066</v>
      </c>
      <c r="E19" s="109">
        <v>5720</v>
      </c>
      <c r="F19" s="109">
        <v>690</v>
      </c>
      <c r="G19" s="109">
        <v>485</v>
      </c>
      <c r="H19" s="109">
        <v>287</v>
      </c>
      <c r="I19" s="109">
        <v>299</v>
      </c>
      <c r="J19" s="109">
        <v>2415</v>
      </c>
      <c r="K19" s="109">
        <v>8536</v>
      </c>
      <c r="L19" s="178">
        <v>11245</v>
      </c>
      <c r="M19" s="178">
        <v>13875</v>
      </c>
      <c r="N19" s="177">
        <f t="shared" si="0"/>
        <v>91520</v>
      </c>
    </row>
    <row r="20" spans="1:14">
      <c r="A20" s="25" t="s">
        <v>80</v>
      </c>
      <c r="B20" s="109">
        <v>2407</v>
      </c>
      <c r="C20" s="109">
        <v>1778</v>
      </c>
      <c r="D20" s="109">
        <v>1171</v>
      </c>
      <c r="E20" s="109">
        <v>276</v>
      </c>
      <c r="F20" s="110">
        <v>58</v>
      </c>
      <c r="G20" s="109">
        <v>44</v>
      </c>
      <c r="H20" s="109">
        <v>48</v>
      </c>
      <c r="I20" s="109">
        <v>37</v>
      </c>
      <c r="J20" s="109">
        <v>138</v>
      </c>
      <c r="K20" s="109">
        <v>218</v>
      </c>
      <c r="L20" s="178">
        <v>956</v>
      </c>
      <c r="M20" s="178">
        <v>637</v>
      </c>
      <c r="N20" s="177">
        <f t="shared" si="0"/>
        <v>7768</v>
      </c>
    </row>
    <row r="21" spans="1:14">
      <c r="A21" s="25" t="s">
        <v>81</v>
      </c>
      <c r="B21" s="109">
        <v>42848</v>
      </c>
      <c r="C21" s="109">
        <v>44043</v>
      </c>
      <c r="D21" s="109">
        <v>26861</v>
      </c>
      <c r="E21" s="109">
        <v>13084</v>
      </c>
      <c r="F21" s="109">
        <v>1742</v>
      </c>
      <c r="G21" s="109">
        <v>1621</v>
      </c>
      <c r="H21" s="109">
        <v>1809</v>
      </c>
      <c r="I21" s="109">
        <v>1343</v>
      </c>
      <c r="J21" s="109">
        <v>3272</v>
      </c>
      <c r="K21" s="109">
        <v>12152</v>
      </c>
      <c r="L21" s="178">
        <v>21040</v>
      </c>
      <c r="M21" s="178">
        <v>31886</v>
      </c>
      <c r="N21" s="177">
        <f t="shared" si="0"/>
        <v>201701</v>
      </c>
    </row>
    <row r="22" spans="1:14">
      <c r="A22" s="25" t="s">
        <v>23</v>
      </c>
      <c r="B22" s="109">
        <v>53871</v>
      </c>
      <c r="C22" s="109">
        <v>53945</v>
      </c>
      <c r="D22" s="109">
        <v>41231</v>
      </c>
      <c r="E22" s="109">
        <v>19226</v>
      </c>
      <c r="F22" s="109">
        <v>9923</v>
      </c>
      <c r="G22" s="109">
        <v>8473</v>
      </c>
      <c r="H22" s="109">
        <v>6883</v>
      </c>
      <c r="I22" s="109">
        <v>6663</v>
      </c>
      <c r="J22" s="109">
        <v>11835</v>
      </c>
      <c r="K22" s="109">
        <v>18408</v>
      </c>
      <c r="L22" s="178">
        <v>32611</v>
      </c>
      <c r="M22" s="178">
        <v>32387</v>
      </c>
      <c r="N22" s="177">
        <f t="shared" si="0"/>
        <v>295456</v>
      </c>
    </row>
    <row r="23" spans="1:14">
      <c r="A23" s="25" t="s">
        <v>82</v>
      </c>
      <c r="B23" s="109">
        <v>72592</v>
      </c>
      <c r="C23" s="109">
        <v>80948</v>
      </c>
      <c r="D23" s="109">
        <v>51750</v>
      </c>
      <c r="E23" s="109">
        <v>31760</v>
      </c>
      <c r="F23" s="109">
        <v>23224</v>
      </c>
      <c r="G23" s="109">
        <v>16854</v>
      </c>
      <c r="H23" s="109">
        <v>16187</v>
      </c>
      <c r="I23" s="109">
        <v>16264</v>
      </c>
      <c r="J23" s="109">
        <v>21136</v>
      </c>
      <c r="K23" s="109">
        <v>32927</v>
      </c>
      <c r="L23" s="178">
        <v>38039</v>
      </c>
      <c r="M23" s="178">
        <v>56689</v>
      </c>
      <c r="N23" s="177">
        <f t="shared" si="0"/>
        <v>458370</v>
      </c>
    </row>
    <row r="24" spans="1:14" ht="15.75" thickBot="1">
      <c r="A24" s="104" t="s">
        <v>24</v>
      </c>
      <c r="B24" s="223">
        <v>25473</v>
      </c>
      <c r="C24" s="223">
        <v>27386</v>
      </c>
      <c r="D24" s="223">
        <v>19192</v>
      </c>
      <c r="E24" s="223">
        <v>14642</v>
      </c>
      <c r="F24" s="223">
        <v>11356</v>
      </c>
      <c r="G24" s="223">
        <v>7998</v>
      </c>
      <c r="H24" s="223">
        <v>7946</v>
      </c>
      <c r="I24" s="223">
        <v>9019</v>
      </c>
      <c r="J24" s="223">
        <v>10501</v>
      </c>
      <c r="K24" s="223">
        <v>13518</v>
      </c>
      <c r="L24" s="179">
        <v>14615</v>
      </c>
      <c r="M24" s="179">
        <v>20926</v>
      </c>
      <c r="N24" s="180">
        <f t="shared" si="0"/>
        <v>182572</v>
      </c>
    </row>
    <row r="25" spans="1:14" ht="16.5" thickTop="1" thickBot="1">
      <c r="A25" s="84" t="s">
        <v>45</v>
      </c>
      <c r="B25" s="218">
        <f t="shared" ref="B25:M25" si="1">SUM(B4:B24)</f>
        <v>514695</v>
      </c>
      <c r="C25" s="218">
        <f t="shared" si="1"/>
        <v>562472</v>
      </c>
      <c r="D25" s="218">
        <f t="shared" si="1"/>
        <v>391520</v>
      </c>
      <c r="E25" s="218">
        <f t="shared" si="1"/>
        <v>220377</v>
      </c>
      <c r="F25" s="218">
        <f t="shared" si="1"/>
        <v>101249</v>
      </c>
      <c r="G25" s="218">
        <f t="shared" si="1"/>
        <v>65419</v>
      </c>
      <c r="H25" s="218">
        <f t="shared" si="1"/>
        <v>59874</v>
      </c>
      <c r="I25" s="218">
        <f t="shared" si="1"/>
        <v>62416</v>
      </c>
      <c r="J25" s="218">
        <f t="shared" si="1"/>
        <v>96007</v>
      </c>
      <c r="K25" s="218">
        <f t="shared" si="1"/>
        <v>205147</v>
      </c>
      <c r="L25" s="218">
        <f t="shared" si="1"/>
        <v>292548</v>
      </c>
      <c r="M25" s="218">
        <f t="shared" si="1"/>
        <v>378145</v>
      </c>
      <c r="N25" s="219">
        <f t="shared" si="0"/>
        <v>2949869</v>
      </c>
    </row>
    <row r="26" spans="1:14">
      <c r="A26" s="6"/>
      <c r="B26" s="182"/>
      <c r="C26" s="182"/>
      <c r="D26" s="182"/>
      <c r="E26" s="182"/>
      <c r="F26" s="182"/>
      <c r="G26" s="182"/>
      <c r="H26" s="182"/>
      <c r="I26" s="182"/>
      <c r="J26" s="182"/>
      <c r="K26" s="182"/>
      <c r="L26" s="182"/>
      <c r="M26" s="182"/>
      <c r="N26" s="183"/>
    </row>
    <row r="27" spans="1:14" ht="15.75" thickBot="1">
      <c r="A27" s="6" t="s">
        <v>15</v>
      </c>
      <c r="B27" s="182"/>
      <c r="C27" s="182"/>
      <c r="D27" s="182"/>
      <c r="E27" s="182"/>
      <c r="F27" s="182"/>
      <c r="G27" s="182"/>
      <c r="H27" s="182"/>
      <c r="I27" s="182"/>
      <c r="J27" s="182"/>
      <c r="K27" s="182"/>
      <c r="L27" s="182"/>
      <c r="M27" s="182"/>
      <c r="N27" s="183"/>
    </row>
    <row r="28" spans="1:14">
      <c r="A28" s="5" t="s">
        <v>85</v>
      </c>
      <c r="B28" s="222">
        <v>2450</v>
      </c>
      <c r="C28" s="222">
        <v>2422</v>
      </c>
      <c r="D28" s="222">
        <v>1972</v>
      </c>
      <c r="E28" s="222">
        <v>1143</v>
      </c>
      <c r="F28" s="222">
        <v>862</v>
      </c>
      <c r="G28" s="236">
        <v>49</v>
      </c>
      <c r="H28" s="222">
        <v>54</v>
      </c>
      <c r="I28" s="222">
        <v>0</v>
      </c>
      <c r="J28" s="222">
        <v>0</v>
      </c>
      <c r="K28" s="222">
        <v>336</v>
      </c>
      <c r="L28" s="184">
        <v>975</v>
      </c>
      <c r="M28" s="184">
        <v>1296</v>
      </c>
      <c r="N28" s="176">
        <f t="shared" si="0"/>
        <v>11559</v>
      </c>
    </row>
    <row r="29" spans="1:14">
      <c r="A29" s="3" t="s">
        <v>86</v>
      </c>
      <c r="B29" s="107">
        <v>1463</v>
      </c>
      <c r="C29" s="109">
        <v>502</v>
      </c>
      <c r="D29" s="109">
        <v>535</v>
      </c>
      <c r="E29" s="109">
        <v>161</v>
      </c>
      <c r="F29" s="110">
        <v>5</v>
      </c>
      <c r="G29" s="110">
        <v>7</v>
      </c>
      <c r="H29" s="109">
        <v>48</v>
      </c>
      <c r="I29" s="109">
        <v>6</v>
      </c>
      <c r="J29" s="109">
        <v>183</v>
      </c>
      <c r="K29" s="109">
        <v>378</v>
      </c>
      <c r="L29" s="178">
        <v>633</v>
      </c>
      <c r="M29" s="178"/>
      <c r="N29" s="177">
        <f t="shared" si="0"/>
        <v>3921</v>
      </c>
    </row>
    <row r="30" spans="1:14">
      <c r="A30" s="3" t="s">
        <v>87</v>
      </c>
      <c r="B30" s="109">
        <v>3463</v>
      </c>
      <c r="C30" s="109">
        <v>3455</v>
      </c>
      <c r="D30" s="109">
        <v>2161</v>
      </c>
      <c r="E30" s="109">
        <v>1795</v>
      </c>
      <c r="F30" s="109">
        <v>349</v>
      </c>
      <c r="G30" s="110">
        <v>87</v>
      </c>
      <c r="H30" s="109">
        <v>23</v>
      </c>
      <c r="I30" s="109">
        <v>0</v>
      </c>
      <c r="J30" s="109">
        <v>0</v>
      </c>
      <c r="K30" s="109">
        <v>515</v>
      </c>
      <c r="L30" s="178">
        <v>830</v>
      </c>
      <c r="M30" s="178">
        <v>1955</v>
      </c>
      <c r="N30" s="177">
        <f t="shared" si="0"/>
        <v>14633</v>
      </c>
    </row>
    <row r="31" spans="1:14">
      <c r="A31" s="3" t="s">
        <v>88</v>
      </c>
      <c r="B31" s="109">
        <v>2135</v>
      </c>
      <c r="C31" s="109">
        <v>2371</v>
      </c>
      <c r="D31" s="109">
        <v>1602</v>
      </c>
      <c r="E31" s="109">
        <v>1219</v>
      </c>
      <c r="F31" s="109">
        <v>330</v>
      </c>
      <c r="G31" s="110">
        <v>47</v>
      </c>
      <c r="H31" s="109">
        <v>12</v>
      </c>
      <c r="I31" s="109">
        <v>0</v>
      </c>
      <c r="J31" s="109">
        <v>0</v>
      </c>
      <c r="K31" s="109">
        <v>266</v>
      </c>
      <c r="L31" s="178">
        <v>779</v>
      </c>
      <c r="M31" s="178">
        <v>1196</v>
      </c>
      <c r="N31" s="177">
        <f>SUM(B31:M31)</f>
        <v>9957</v>
      </c>
    </row>
    <row r="32" spans="1:14">
      <c r="A32" s="3" t="s">
        <v>89</v>
      </c>
      <c r="B32" s="109">
        <v>912</v>
      </c>
      <c r="C32" s="109">
        <v>1136</v>
      </c>
      <c r="D32" s="109">
        <v>695</v>
      </c>
      <c r="E32" s="109">
        <v>617</v>
      </c>
      <c r="F32" s="109">
        <v>98</v>
      </c>
      <c r="G32" s="110">
        <v>21</v>
      </c>
      <c r="H32" s="109">
        <v>18</v>
      </c>
      <c r="I32" s="109">
        <v>0</v>
      </c>
      <c r="J32" s="109">
        <v>0</v>
      </c>
      <c r="K32" s="109">
        <v>138</v>
      </c>
      <c r="L32" s="178">
        <v>332</v>
      </c>
      <c r="M32" s="178">
        <v>567</v>
      </c>
      <c r="N32" s="177">
        <f t="shared" si="0"/>
        <v>4534</v>
      </c>
    </row>
    <row r="33" spans="1:14" ht="15.75" thickBot="1">
      <c r="A33" s="3" t="s">
        <v>90</v>
      </c>
      <c r="B33" s="223">
        <v>392</v>
      </c>
      <c r="C33" s="223">
        <v>479</v>
      </c>
      <c r="D33" s="223">
        <v>439</v>
      </c>
      <c r="E33" s="223">
        <v>443</v>
      </c>
      <c r="F33" s="223">
        <v>422</v>
      </c>
      <c r="G33" s="237">
        <v>292</v>
      </c>
      <c r="H33" s="223">
        <v>276</v>
      </c>
      <c r="I33" s="223">
        <v>49</v>
      </c>
      <c r="J33" s="223">
        <v>48</v>
      </c>
      <c r="K33" s="223">
        <v>351</v>
      </c>
      <c r="L33" s="179">
        <v>0</v>
      </c>
      <c r="M33" s="179">
        <v>376</v>
      </c>
      <c r="N33" s="180">
        <f t="shared" si="0"/>
        <v>3567</v>
      </c>
    </row>
    <row r="34" spans="1:14" ht="16.5" thickTop="1" thickBot="1">
      <c r="A34" s="84" t="s">
        <v>46</v>
      </c>
      <c r="B34" s="218">
        <f>SUM(B28:B33)</f>
        <v>10815</v>
      </c>
      <c r="C34" s="218">
        <f t="shared" ref="C34:F34" si="2">SUM(C28:C33)</f>
        <v>10365</v>
      </c>
      <c r="D34" s="218">
        <f t="shared" si="2"/>
        <v>7404</v>
      </c>
      <c r="E34" s="218">
        <f t="shared" si="2"/>
        <v>5378</v>
      </c>
      <c r="F34" s="218">
        <f t="shared" si="2"/>
        <v>2066</v>
      </c>
      <c r="G34" s="218">
        <f>SUM(G28:G33)</f>
        <v>503</v>
      </c>
      <c r="H34" s="218">
        <f t="shared" ref="H34:M34" si="3">SUM(H28:H33)</f>
        <v>431</v>
      </c>
      <c r="I34" s="218">
        <f t="shared" si="3"/>
        <v>55</v>
      </c>
      <c r="J34" s="218">
        <f t="shared" si="3"/>
        <v>231</v>
      </c>
      <c r="K34" s="218">
        <f t="shared" si="3"/>
        <v>1984</v>
      </c>
      <c r="L34" s="218">
        <f t="shared" si="3"/>
        <v>3549</v>
      </c>
      <c r="M34" s="218">
        <f t="shared" si="3"/>
        <v>5390</v>
      </c>
      <c r="N34" s="219">
        <f>SUM(N28:N33)</f>
        <v>48171</v>
      </c>
    </row>
    <row r="35" spans="1:14" ht="15.75" thickBot="1">
      <c r="A35" s="17"/>
      <c r="B35" s="159"/>
      <c r="C35" s="159"/>
      <c r="D35" s="159"/>
      <c r="E35" s="159"/>
      <c r="F35" s="159"/>
      <c r="G35" s="159"/>
      <c r="H35" s="159"/>
      <c r="I35" s="159"/>
      <c r="J35" s="159"/>
      <c r="K35" s="159"/>
      <c r="L35" s="159"/>
      <c r="M35" s="159"/>
      <c r="N35" s="159"/>
    </row>
    <row r="36" spans="1:14" ht="15.75" thickBot="1">
      <c r="A36" s="93" t="s">
        <v>20</v>
      </c>
      <c r="B36" s="227">
        <v>17353</v>
      </c>
      <c r="C36" s="227">
        <v>16681</v>
      </c>
      <c r="D36" s="227">
        <v>12545</v>
      </c>
      <c r="E36" s="227">
        <v>5605</v>
      </c>
      <c r="F36" s="227">
        <v>1993</v>
      </c>
      <c r="G36" s="227">
        <v>610</v>
      </c>
      <c r="H36" s="227">
        <v>219</v>
      </c>
      <c r="I36" s="227">
        <v>330</v>
      </c>
      <c r="J36" s="227">
        <v>1216</v>
      </c>
      <c r="K36" s="227">
        <v>4447</v>
      </c>
      <c r="L36" s="227">
        <v>8203</v>
      </c>
      <c r="M36" s="227">
        <v>11846</v>
      </c>
      <c r="N36" s="228">
        <f>SUM(B36:M36)</f>
        <v>81048</v>
      </c>
    </row>
    <row r="37" spans="1:14" ht="15.75" thickBot="1">
      <c r="A37" s="17"/>
      <c r="B37" s="159"/>
      <c r="C37" s="159"/>
      <c r="D37" s="159"/>
      <c r="E37" s="159"/>
      <c r="F37" s="159"/>
      <c r="G37" s="159"/>
      <c r="H37" s="159"/>
      <c r="I37" s="159"/>
      <c r="J37" s="159"/>
      <c r="K37" s="159"/>
      <c r="L37" s="159"/>
      <c r="M37" s="159"/>
      <c r="N37" s="159"/>
    </row>
    <row r="38" spans="1:14" ht="15.75" thickBot="1">
      <c r="A38" s="85" t="s">
        <v>61</v>
      </c>
      <c r="B38" s="224">
        <f>B25+B34+B36</f>
        <v>542863</v>
      </c>
      <c r="C38" s="224">
        <f t="shared" ref="C38:N38" si="4">C25+C34+C36</f>
        <v>589518</v>
      </c>
      <c r="D38" s="224">
        <f t="shared" si="4"/>
        <v>411469</v>
      </c>
      <c r="E38" s="224">
        <f t="shared" si="4"/>
        <v>231360</v>
      </c>
      <c r="F38" s="224">
        <f t="shared" si="4"/>
        <v>105308</v>
      </c>
      <c r="G38" s="224">
        <f t="shared" si="4"/>
        <v>66532</v>
      </c>
      <c r="H38" s="224">
        <f t="shared" si="4"/>
        <v>60524</v>
      </c>
      <c r="I38" s="224">
        <f t="shared" si="4"/>
        <v>62801</v>
      </c>
      <c r="J38" s="224">
        <f t="shared" si="4"/>
        <v>97454</v>
      </c>
      <c r="K38" s="224">
        <f t="shared" si="4"/>
        <v>211578</v>
      </c>
      <c r="L38" s="224">
        <f t="shared" si="4"/>
        <v>304300</v>
      </c>
      <c r="M38" s="224">
        <f t="shared" si="4"/>
        <v>395381</v>
      </c>
      <c r="N38" s="224">
        <f t="shared" si="4"/>
        <v>3079088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8"/>
  <sheetViews>
    <sheetView showGridLines="0" workbookViewId="0">
      <selection activeCell="A22" sqref="A22:XFD22"/>
    </sheetView>
  </sheetViews>
  <sheetFormatPr defaultColWidth="8.85546875" defaultRowHeight="15"/>
  <cols>
    <col min="1" max="1" width="28.140625" style="17" bestFit="1" customWidth="1"/>
    <col min="2" max="13" width="9.28515625" style="17" bestFit="1" customWidth="1"/>
    <col min="14" max="14" width="10.7109375" style="17" bestFit="1" customWidth="1"/>
    <col min="15" max="16384" width="8.85546875" style="17"/>
  </cols>
  <sheetData>
    <row r="1" spans="1:14" ht="17.25" thickBot="1">
      <c r="A1" s="82" t="s">
        <v>0</v>
      </c>
      <c r="B1" s="90">
        <v>42370</v>
      </c>
      <c r="C1" s="90">
        <v>42401</v>
      </c>
      <c r="D1" s="90">
        <v>42430</v>
      </c>
      <c r="E1" s="90">
        <v>42461</v>
      </c>
      <c r="F1" s="90">
        <v>42491</v>
      </c>
      <c r="G1" s="90">
        <v>42522</v>
      </c>
      <c r="H1" s="90">
        <v>42552</v>
      </c>
      <c r="I1" s="90">
        <v>42583</v>
      </c>
      <c r="J1" s="90">
        <v>42614</v>
      </c>
      <c r="K1" s="90">
        <v>42644</v>
      </c>
      <c r="L1" s="90">
        <v>42675</v>
      </c>
      <c r="M1" s="90">
        <v>42705</v>
      </c>
      <c r="N1" s="9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
      <c r="A4" s="100" t="s">
        <v>91</v>
      </c>
      <c r="B4" s="184">
        <v>148065</v>
      </c>
      <c r="C4" s="184">
        <v>113943</v>
      </c>
      <c r="D4" s="184">
        <v>68573</v>
      </c>
      <c r="E4" s="184">
        <v>157744</v>
      </c>
      <c r="F4" s="184">
        <v>23797</v>
      </c>
      <c r="G4" s="184">
        <v>6728</v>
      </c>
      <c r="H4" s="184">
        <v>4805</v>
      </c>
      <c r="I4" s="184">
        <v>8104</v>
      </c>
      <c r="J4" s="184">
        <v>23692</v>
      </c>
      <c r="K4" s="184">
        <v>73022</v>
      </c>
      <c r="L4" s="184">
        <v>106542</v>
      </c>
      <c r="M4" s="184">
        <v>170113</v>
      </c>
      <c r="N4" s="176">
        <f>SUM(B4:M4)</f>
        <v>905128</v>
      </c>
    </row>
    <row r="5" spans="1:14">
      <c r="A5" s="101" t="s">
        <v>21</v>
      </c>
      <c r="B5" s="178">
        <v>42875</v>
      </c>
      <c r="C5" s="178">
        <v>34985</v>
      </c>
      <c r="D5" s="178">
        <v>14612</v>
      </c>
      <c r="E5" s="178">
        <v>39477</v>
      </c>
      <c r="F5" s="178">
        <v>1982</v>
      </c>
      <c r="G5" s="178">
        <v>1129</v>
      </c>
      <c r="H5" s="178">
        <v>614</v>
      </c>
      <c r="I5" s="178">
        <v>1138</v>
      </c>
      <c r="J5" s="178">
        <v>3846</v>
      </c>
      <c r="K5" s="178">
        <v>21406</v>
      </c>
      <c r="L5" s="178">
        <v>30420</v>
      </c>
      <c r="M5" s="178">
        <v>46889</v>
      </c>
      <c r="N5" s="177">
        <f t="shared" ref="N5:N34" si="0">SUM(B5:M5)</f>
        <v>239373</v>
      </c>
    </row>
    <row r="6" spans="1:14">
      <c r="A6" s="83" t="s">
        <v>92</v>
      </c>
      <c r="B6" s="109">
        <v>1393</v>
      </c>
      <c r="C6" s="109">
        <v>756</v>
      </c>
      <c r="D6" s="109">
        <v>2200</v>
      </c>
      <c r="E6" s="110">
        <v>1170</v>
      </c>
      <c r="F6" s="109">
        <v>610</v>
      </c>
      <c r="G6" s="109">
        <v>300</v>
      </c>
      <c r="H6" s="109">
        <v>939</v>
      </c>
      <c r="I6" s="109">
        <v>157</v>
      </c>
      <c r="J6" s="109">
        <v>1347</v>
      </c>
      <c r="K6" s="109">
        <v>522</v>
      </c>
      <c r="L6" s="178">
        <v>2062</v>
      </c>
      <c r="M6" s="178">
        <v>1061</v>
      </c>
      <c r="N6" s="177">
        <f t="shared" si="0"/>
        <v>12517</v>
      </c>
    </row>
    <row r="7" spans="1:14">
      <c r="A7" s="83" t="s">
        <v>2</v>
      </c>
      <c r="B7" s="109">
        <v>12340</v>
      </c>
      <c r="C7" s="109">
        <v>8739</v>
      </c>
      <c r="D7" s="109">
        <v>9839</v>
      </c>
      <c r="E7" s="109">
        <v>11977</v>
      </c>
      <c r="F7" s="109">
        <v>4127</v>
      </c>
      <c r="G7" s="109">
        <v>1342</v>
      </c>
      <c r="H7" s="109">
        <v>2476</v>
      </c>
      <c r="I7" s="109">
        <v>762</v>
      </c>
      <c r="J7" s="109">
        <v>2406</v>
      </c>
      <c r="K7" s="109">
        <v>2583</v>
      </c>
      <c r="L7" s="178">
        <v>4639</v>
      </c>
      <c r="M7" s="178">
        <v>9563</v>
      </c>
      <c r="N7" s="177">
        <f t="shared" si="0"/>
        <v>70793</v>
      </c>
    </row>
    <row r="8" spans="1:14">
      <c r="A8" s="83" t="s">
        <v>69</v>
      </c>
      <c r="B8" s="109">
        <v>9684</v>
      </c>
      <c r="C8" s="109">
        <v>8547</v>
      </c>
      <c r="D8" s="109">
        <v>8300</v>
      </c>
      <c r="E8" s="109">
        <v>8030</v>
      </c>
      <c r="F8" s="109">
        <v>4285</v>
      </c>
      <c r="G8" s="109">
        <v>1246</v>
      </c>
      <c r="H8" s="109">
        <v>1125</v>
      </c>
      <c r="I8" s="109">
        <v>790</v>
      </c>
      <c r="J8" s="109">
        <v>48</v>
      </c>
      <c r="K8" s="109">
        <v>2346</v>
      </c>
      <c r="L8" s="178">
        <v>2116</v>
      </c>
      <c r="M8" s="178">
        <v>7146</v>
      </c>
      <c r="N8" s="177">
        <f t="shared" si="0"/>
        <v>53663</v>
      </c>
    </row>
    <row r="9" spans="1:14">
      <c r="A9" s="83" t="s">
        <v>70</v>
      </c>
      <c r="B9" s="109">
        <v>2932</v>
      </c>
      <c r="C9" s="109">
        <v>1791</v>
      </c>
      <c r="D9" s="109">
        <v>1850</v>
      </c>
      <c r="E9" s="109">
        <v>2249</v>
      </c>
      <c r="F9" s="109">
        <v>1317</v>
      </c>
      <c r="G9" s="109">
        <v>456</v>
      </c>
      <c r="H9" s="109">
        <v>327</v>
      </c>
      <c r="I9" s="109">
        <v>627</v>
      </c>
      <c r="J9" s="109">
        <v>565</v>
      </c>
      <c r="K9" s="109">
        <v>1747</v>
      </c>
      <c r="L9" s="178">
        <v>1391</v>
      </c>
      <c r="M9" s="178">
        <v>1778</v>
      </c>
      <c r="N9" s="177">
        <f t="shared" si="0"/>
        <v>17030</v>
      </c>
    </row>
    <row r="10" spans="1:14">
      <c r="A10" s="83" t="s">
        <v>71</v>
      </c>
      <c r="B10" s="109">
        <v>3191</v>
      </c>
      <c r="C10" s="109">
        <v>3467</v>
      </c>
      <c r="D10" s="109">
        <v>2811</v>
      </c>
      <c r="E10" s="109">
        <v>1582</v>
      </c>
      <c r="F10" s="109">
        <v>1140</v>
      </c>
      <c r="G10" s="109">
        <v>596</v>
      </c>
      <c r="H10" s="109">
        <v>306</v>
      </c>
      <c r="I10" s="109">
        <v>705</v>
      </c>
      <c r="J10" s="109">
        <v>576</v>
      </c>
      <c r="K10" s="109">
        <v>2045</v>
      </c>
      <c r="L10" s="178">
        <v>1404</v>
      </c>
      <c r="M10" s="178">
        <v>2095</v>
      </c>
      <c r="N10" s="177">
        <f t="shared" si="0"/>
        <v>19918</v>
      </c>
    </row>
    <row r="11" spans="1:14">
      <c r="A11" s="83" t="s">
        <v>72</v>
      </c>
      <c r="B11" s="109">
        <v>2853</v>
      </c>
      <c r="C11" s="109">
        <v>2912</v>
      </c>
      <c r="D11" s="109">
        <v>1989</v>
      </c>
      <c r="E11" s="109">
        <v>1984</v>
      </c>
      <c r="F11" s="109">
        <v>1967</v>
      </c>
      <c r="G11" s="109">
        <v>1097</v>
      </c>
      <c r="H11" s="109">
        <v>793</v>
      </c>
      <c r="I11" s="109">
        <v>1131</v>
      </c>
      <c r="J11" s="109">
        <v>1508</v>
      </c>
      <c r="K11" s="109">
        <v>1789</v>
      </c>
      <c r="L11" s="178">
        <v>3503</v>
      </c>
      <c r="M11" s="178">
        <v>2127</v>
      </c>
      <c r="N11" s="177">
        <f t="shared" si="0"/>
        <v>23653</v>
      </c>
    </row>
    <row r="12" spans="1:14">
      <c r="A12" s="83" t="s">
        <v>73</v>
      </c>
      <c r="B12" s="109">
        <v>3946</v>
      </c>
      <c r="C12" s="109">
        <v>3214</v>
      </c>
      <c r="D12" s="109">
        <v>3130</v>
      </c>
      <c r="E12" s="109">
        <v>3210</v>
      </c>
      <c r="F12" s="109">
        <v>1760</v>
      </c>
      <c r="G12" s="109">
        <v>291</v>
      </c>
      <c r="H12" s="109">
        <v>570</v>
      </c>
      <c r="I12" s="109">
        <v>16</v>
      </c>
      <c r="J12" s="109">
        <v>19</v>
      </c>
      <c r="K12" s="109">
        <v>519</v>
      </c>
      <c r="L12" s="178">
        <v>1833</v>
      </c>
      <c r="M12" s="178">
        <v>2853</v>
      </c>
      <c r="N12" s="177">
        <f t="shared" si="0"/>
        <v>21361</v>
      </c>
    </row>
    <row r="13" spans="1:14">
      <c r="A13" s="83" t="s">
        <v>74</v>
      </c>
      <c r="B13" s="109">
        <v>18161</v>
      </c>
      <c r="C13" s="109">
        <v>13173</v>
      </c>
      <c r="D13" s="109">
        <v>14911</v>
      </c>
      <c r="E13" s="109">
        <v>20018</v>
      </c>
      <c r="F13" s="109">
        <v>6567</v>
      </c>
      <c r="G13" s="109">
        <v>3129</v>
      </c>
      <c r="H13" s="109">
        <v>2417</v>
      </c>
      <c r="I13" s="109">
        <v>2465</v>
      </c>
      <c r="J13" s="109">
        <v>1100</v>
      </c>
      <c r="K13" s="109">
        <v>5219</v>
      </c>
      <c r="L13" s="178">
        <v>7875</v>
      </c>
      <c r="M13" s="178">
        <v>14734</v>
      </c>
      <c r="N13" s="177">
        <f t="shared" si="0"/>
        <v>109769</v>
      </c>
    </row>
    <row r="14" spans="1:14">
      <c r="A14" s="83" t="s">
        <v>75</v>
      </c>
      <c r="B14" s="109">
        <v>10472</v>
      </c>
      <c r="C14" s="109">
        <v>8412</v>
      </c>
      <c r="D14" s="109">
        <v>8325</v>
      </c>
      <c r="E14" s="109">
        <v>10717</v>
      </c>
      <c r="F14" s="109">
        <v>3328</v>
      </c>
      <c r="G14" s="109">
        <v>788</v>
      </c>
      <c r="H14" s="109">
        <v>377</v>
      </c>
      <c r="I14" s="109">
        <v>287</v>
      </c>
      <c r="J14" s="109">
        <v>405</v>
      </c>
      <c r="K14" s="109">
        <v>2065</v>
      </c>
      <c r="L14" s="178">
        <v>3165</v>
      </c>
      <c r="M14" s="178">
        <v>8213</v>
      </c>
      <c r="N14" s="177">
        <f t="shared" si="0"/>
        <v>56554</v>
      </c>
    </row>
    <row r="15" spans="1:14">
      <c r="A15" s="83" t="s">
        <v>22</v>
      </c>
      <c r="B15" s="109">
        <v>746</v>
      </c>
      <c r="C15" s="109">
        <v>656</v>
      </c>
      <c r="D15" s="109">
        <v>730</v>
      </c>
      <c r="E15" s="109">
        <v>945</v>
      </c>
      <c r="F15" s="109">
        <v>205</v>
      </c>
      <c r="G15" s="109">
        <v>101</v>
      </c>
      <c r="H15" s="109">
        <v>31</v>
      </c>
      <c r="I15" s="109">
        <v>65</v>
      </c>
      <c r="J15" s="109">
        <v>59</v>
      </c>
      <c r="K15" s="109">
        <v>127</v>
      </c>
      <c r="L15" s="178">
        <v>260</v>
      </c>
      <c r="M15" s="178">
        <v>635</v>
      </c>
      <c r="N15" s="177">
        <f t="shared" si="0"/>
        <v>4560</v>
      </c>
    </row>
    <row r="16" spans="1:14">
      <c r="A16" s="83" t="s">
        <v>76</v>
      </c>
      <c r="B16" s="109">
        <v>10714</v>
      </c>
      <c r="C16" s="109">
        <v>9048</v>
      </c>
      <c r="D16" s="109">
        <v>8269</v>
      </c>
      <c r="E16" s="109">
        <v>10672</v>
      </c>
      <c r="F16" s="109">
        <v>2017</v>
      </c>
      <c r="G16" s="109">
        <v>529</v>
      </c>
      <c r="H16" s="109">
        <v>582</v>
      </c>
      <c r="I16" s="109">
        <v>0</v>
      </c>
      <c r="J16" s="109">
        <v>3</v>
      </c>
      <c r="K16" s="109">
        <v>1905</v>
      </c>
      <c r="L16" s="178">
        <v>7020</v>
      </c>
      <c r="M16" s="178">
        <v>8086</v>
      </c>
      <c r="N16" s="177">
        <f t="shared" si="0"/>
        <v>58845</v>
      </c>
    </row>
    <row r="17" spans="1:14">
      <c r="A17" s="83" t="s">
        <v>77</v>
      </c>
      <c r="B17" s="109">
        <v>625</v>
      </c>
      <c r="C17" s="109">
        <v>1424</v>
      </c>
      <c r="D17" s="109">
        <v>799</v>
      </c>
      <c r="E17" s="109">
        <v>295</v>
      </c>
      <c r="F17" s="109">
        <v>3992</v>
      </c>
      <c r="G17" s="109">
        <v>217</v>
      </c>
      <c r="H17" s="109">
        <v>805</v>
      </c>
      <c r="I17" s="109">
        <v>34</v>
      </c>
      <c r="J17" s="109">
        <v>34</v>
      </c>
      <c r="K17" s="109">
        <v>256</v>
      </c>
      <c r="L17" s="178">
        <v>43</v>
      </c>
      <c r="M17" s="178">
        <v>160</v>
      </c>
      <c r="N17" s="177">
        <f t="shared" si="0"/>
        <v>8684</v>
      </c>
    </row>
    <row r="18" spans="1:14">
      <c r="A18" s="83" t="s">
        <v>78</v>
      </c>
      <c r="B18" s="109">
        <v>1338</v>
      </c>
      <c r="C18" s="109">
        <v>1241</v>
      </c>
      <c r="D18" s="109">
        <v>2122</v>
      </c>
      <c r="E18" s="109">
        <v>1812</v>
      </c>
      <c r="F18" s="109">
        <v>475</v>
      </c>
      <c r="G18" s="109">
        <v>215</v>
      </c>
      <c r="H18" s="109">
        <v>123</v>
      </c>
      <c r="I18" s="109">
        <v>162</v>
      </c>
      <c r="J18" s="109">
        <v>112</v>
      </c>
      <c r="K18" s="109">
        <v>367</v>
      </c>
      <c r="L18" s="178">
        <v>644</v>
      </c>
      <c r="M18" s="178">
        <v>1213</v>
      </c>
      <c r="N18" s="177">
        <f t="shared" si="0"/>
        <v>9824</v>
      </c>
    </row>
    <row r="19" spans="1:14">
      <c r="A19" s="25" t="s">
        <v>79</v>
      </c>
      <c r="B19" s="109">
        <v>14285</v>
      </c>
      <c r="C19" s="109">
        <v>13163</v>
      </c>
      <c r="D19" s="109">
        <v>6259</v>
      </c>
      <c r="E19" s="109">
        <v>15299</v>
      </c>
      <c r="F19" s="109">
        <v>1062</v>
      </c>
      <c r="G19" s="109">
        <v>573</v>
      </c>
      <c r="H19" s="109">
        <v>205</v>
      </c>
      <c r="I19" s="109">
        <v>236</v>
      </c>
      <c r="J19" s="109">
        <v>872</v>
      </c>
      <c r="K19" s="109">
        <v>5542</v>
      </c>
      <c r="L19" s="178">
        <v>8666</v>
      </c>
      <c r="M19" s="178">
        <v>13355</v>
      </c>
      <c r="N19" s="177">
        <f t="shared" si="0"/>
        <v>79517</v>
      </c>
    </row>
    <row r="20" spans="1:14">
      <c r="A20" s="25" t="s">
        <v>80</v>
      </c>
      <c r="B20" s="109">
        <v>1791</v>
      </c>
      <c r="C20" s="109">
        <v>622</v>
      </c>
      <c r="D20" s="109">
        <v>306</v>
      </c>
      <c r="E20" s="109">
        <v>830</v>
      </c>
      <c r="F20" s="109">
        <v>46</v>
      </c>
      <c r="G20" s="109">
        <v>41</v>
      </c>
      <c r="H20" s="109">
        <v>45</v>
      </c>
      <c r="I20" s="109">
        <v>37</v>
      </c>
      <c r="J20" s="109">
        <v>113</v>
      </c>
      <c r="K20" s="109">
        <v>208</v>
      </c>
      <c r="L20" s="178">
        <v>762</v>
      </c>
      <c r="M20" s="178">
        <v>2209</v>
      </c>
      <c r="N20" s="177">
        <f t="shared" si="0"/>
        <v>7010</v>
      </c>
    </row>
    <row r="21" spans="1:14">
      <c r="A21" s="25" t="s">
        <v>81</v>
      </c>
      <c r="B21" s="109">
        <v>29215</v>
      </c>
      <c r="C21" s="109">
        <v>25887</v>
      </c>
      <c r="D21" s="109">
        <v>12779</v>
      </c>
      <c r="E21" s="109">
        <v>29293</v>
      </c>
      <c r="F21" s="109">
        <v>2035</v>
      </c>
      <c r="G21" s="109">
        <v>1761</v>
      </c>
      <c r="H21" s="109">
        <v>1755</v>
      </c>
      <c r="I21" s="109">
        <v>2239</v>
      </c>
      <c r="J21" s="109">
        <v>3475</v>
      </c>
      <c r="K21" s="109">
        <v>15780</v>
      </c>
      <c r="L21" s="178">
        <v>27926</v>
      </c>
      <c r="M21" s="178">
        <v>37140</v>
      </c>
      <c r="N21" s="177">
        <f t="shared" si="0"/>
        <v>189285</v>
      </c>
    </row>
    <row r="22" spans="1:14">
      <c r="A22" s="25" t="s">
        <v>23</v>
      </c>
      <c r="B22" s="109">
        <v>46835</v>
      </c>
      <c r="C22" s="109">
        <v>27889</v>
      </c>
      <c r="D22" s="109">
        <v>24328</v>
      </c>
      <c r="E22" s="109">
        <v>48659</v>
      </c>
      <c r="F22" s="109">
        <v>11816</v>
      </c>
      <c r="G22" s="109">
        <v>6909</v>
      </c>
      <c r="H22" s="109">
        <v>7589</v>
      </c>
      <c r="I22" s="109">
        <v>8105</v>
      </c>
      <c r="J22" s="109">
        <v>12037</v>
      </c>
      <c r="K22" s="109">
        <v>21708</v>
      </c>
      <c r="L22" s="178">
        <v>32056</v>
      </c>
      <c r="M22" s="178">
        <v>46245</v>
      </c>
      <c r="N22" s="177">
        <f t="shared" si="0"/>
        <v>294176</v>
      </c>
    </row>
    <row r="23" spans="1:14">
      <c r="A23" s="25" t="s">
        <v>82</v>
      </c>
      <c r="B23" s="109">
        <v>62991</v>
      </c>
      <c r="C23" s="109">
        <v>54351</v>
      </c>
      <c r="D23" s="109">
        <v>39999</v>
      </c>
      <c r="E23" s="109">
        <v>63143</v>
      </c>
      <c r="F23" s="109">
        <v>19868</v>
      </c>
      <c r="G23" s="109">
        <v>17186</v>
      </c>
      <c r="H23" s="109">
        <v>16882</v>
      </c>
      <c r="I23" s="109">
        <v>19042</v>
      </c>
      <c r="J23" s="109">
        <v>23169</v>
      </c>
      <c r="K23" s="109">
        <v>33350</v>
      </c>
      <c r="L23" s="178">
        <v>45719</v>
      </c>
      <c r="M23" s="178">
        <v>69614</v>
      </c>
      <c r="N23" s="177">
        <f t="shared" si="0"/>
        <v>465314</v>
      </c>
    </row>
    <row r="24" spans="1:14" ht="15.75" thickBot="1">
      <c r="A24" s="104" t="s">
        <v>24</v>
      </c>
      <c r="B24" s="223">
        <v>21298</v>
      </c>
      <c r="C24" s="223">
        <v>16267</v>
      </c>
      <c r="D24" s="223">
        <v>11958</v>
      </c>
      <c r="E24" s="223">
        <v>19196</v>
      </c>
      <c r="F24" s="223">
        <v>10265</v>
      </c>
      <c r="G24" s="223">
        <v>8285</v>
      </c>
      <c r="H24" s="223">
        <v>6762</v>
      </c>
      <c r="I24" s="223">
        <v>4326</v>
      </c>
      <c r="J24" s="223">
        <v>4692</v>
      </c>
      <c r="K24" s="223">
        <v>11424</v>
      </c>
      <c r="L24" s="179">
        <v>17842</v>
      </c>
      <c r="M24" s="179">
        <v>20925</v>
      </c>
      <c r="N24" s="180">
        <f t="shared" si="0"/>
        <v>153240</v>
      </c>
    </row>
    <row r="25" spans="1:14" ht="16.5" thickTop="1" thickBot="1">
      <c r="A25" s="84" t="s">
        <v>45</v>
      </c>
      <c r="B25" s="218">
        <f t="shared" ref="B25:M25" si="1">SUM(B4:B24)</f>
        <v>445750</v>
      </c>
      <c r="C25" s="218">
        <f t="shared" si="1"/>
        <v>350487</v>
      </c>
      <c r="D25" s="218">
        <f t="shared" si="1"/>
        <v>244089</v>
      </c>
      <c r="E25" s="218">
        <f t="shared" si="1"/>
        <v>448302</v>
      </c>
      <c r="F25" s="218">
        <f t="shared" si="1"/>
        <v>102661</v>
      </c>
      <c r="G25" s="218">
        <f t="shared" si="1"/>
        <v>52919</v>
      </c>
      <c r="H25" s="218">
        <f t="shared" si="1"/>
        <v>49528</v>
      </c>
      <c r="I25" s="218">
        <f t="shared" si="1"/>
        <v>50428</v>
      </c>
      <c r="J25" s="218">
        <f t="shared" si="1"/>
        <v>80078</v>
      </c>
      <c r="K25" s="218">
        <f t="shared" si="1"/>
        <v>203930</v>
      </c>
      <c r="L25" s="218">
        <f t="shared" si="1"/>
        <v>305888</v>
      </c>
      <c r="M25" s="218">
        <f t="shared" si="1"/>
        <v>466154</v>
      </c>
      <c r="N25" s="219">
        <f t="shared" si="0"/>
        <v>2800214</v>
      </c>
    </row>
    <row r="26" spans="1:14">
      <c r="A26" s="6"/>
      <c r="B26" s="182"/>
      <c r="C26" s="182"/>
      <c r="D26" s="182"/>
      <c r="E26" s="182"/>
      <c r="F26" s="182"/>
      <c r="G26" s="182"/>
      <c r="H26" s="182"/>
      <c r="I26" s="182"/>
      <c r="J26" s="182"/>
      <c r="K26" s="182"/>
      <c r="L26" s="182"/>
      <c r="M26" s="182"/>
      <c r="N26" s="183"/>
    </row>
    <row r="27" spans="1:14" ht="15.75" thickBot="1">
      <c r="A27" s="6" t="s">
        <v>64</v>
      </c>
      <c r="B27" s="182"/>
      <c r="C27" s="182"/>
      <c r="D27" s="182"/>
      <c r="E27" s="182"/>
      <c r="F27" s="182"/>
      <c r="G27" s="182"/>
      <c r="H27" s="182"/>
      <c r="I27" s="182"/>
      <c r="J27" s="182"/>
      <c r="K27" s="182"/>
      <c r="L27" s="182"/>
      <c r="M27" s="182"/>
      <c r="N27" s="183"/>
    </row>
    <row r="28" spans="1:14">
      <c r="A28" s="5" t="s">
        <v>85</v>
      </c>
      <c r="B28" s="222">
        <v>1789</v>
      </c>
      <c r="C28" s="222">
        <v>1618</v>
      </c>
      <c r="D28" s="222">
        <v>1413</v>
      </c>
      <c r="E28" s="222">
        <v>2042</v>
      </c>
      <c r="F28" s="222">
        <v>627</v>
      </c>
      <c r="G28" s="222">
        <v>80</v>
      </c>
      <c r="H28" s="222">
        <v>101</v>
      </c>
      <c r="I28" s="222">
        <v>0</v>
      </c>
      <c r="J28" s="222">
        <v>0</v>
      </c>
      <c r="K28" s="222">
        <v>457</v>
      </c>
      <c r="L28" s="184">
        <v>826</v>
      </c>
      <c r="M28" s="184">
        <v>1570</v>
      </c>
      <c r="N28" s="176">
        <f t="shared" si="0"/>
        <v>10523</v>
      </c>
    </row>
    <row r="29" spans="1:14">
      <c r="A29" s="3" t="s">
        <v>86</v>
      </c>
      <c r="B29" s="109">
        <v>914</v>
      </c>
      <c r="C29" s="109">
        <v>370</v>
      </c>
      <c r="D29" s="109">
        <v>322</v>
      </c>
      <c r="E29" s="109">
        <v>724</v>
      </c>
      <c r="F29" s="110">
        <v>30</v>
      </c>
      <c r="G29" s="110">
        <v>4</v>
      </c>
      <c r="H29" s="109">
        <v>3</v>
      </c>
      <c r="I29" s="109">
        <v>9</v>
      </c>
      <c r="J29" s="109">
        <v>197</v>
      </c>
      <c r="K29" s="109">
        <v>395</v>
      </c>
      <c r="L29" s="178">
        <v>818</v>
      </c>
      <c r="M29" s="178">
        <v>806</v>
      </c>
      <c r="N29" s="177">
        <f t="shared" si="0"/>
        <v>4592</v>
      </c>
    </row>
    <row r="30" spans="1:14">
      <c r="A30" s="3" t="s">
        <v>87</v>
      </c>
      <c r="B30" s="109">
        <v>1820</v>
      </c>
      <c r="C30" s="109">
        <v>1457</v>
      </c>
      <c r="D30" s="109">
        <v>1511</v>
      </c>
      <c r="E30" s="109">
        <v>2608</v>
      </c>
      <c r="F30" s="109">
        <v>594</v>
      </c>
      <c r="G30" s="109">
        <v>84</v>
      </c>
      <c r="H30" s="109">
        <v>0</v>
      </c>
      <c r="I30" s="109">
        <v>0</v>
      </c>
      <c r="J30" s="109">
        <v>0</v>
      </c>
      <c r="K30" s="109">
        <v>467</v>
      </c>
      <c r="L30" s="178">
        <v>996</v>
      </c>
      <c r="M30" s="178">
        <v>1922</v>
      </c>
      <c r="N30" s="177">
        <f t="shared" si="0"/>
        <v>11459</v>
      </c>
    </row>
    <row r="31" spans="1:14">
      <c r="A31" s="3" t="s">
        <v>88</v>
      </c>
      <c r="B31" s="109">
        <v>1378</v>
      </c>
      <c r="C31" s="109">
        <v>1222</v>
      </c>
      <c r="D31" s="109">
        <v>1091</v>
      </c>
      <c r="E31" s="109">
        <v>1846</v>
      </c>
      <c r="F31" s="109">
        <v>329</v>
      </c>
      <c r="G31" s="109">
        <v>37</v>
      </c>
      <c r="H31" s="109">
        <v>5</v>
      </c>
      <c r="I31" s="109">
        <v>0</v>
      </c>
      <c r="J31" s="109">
        <v>0</v>
      </c>
      <c r="K31" s="109">
        <v>364</v>
      </c>
      <c r="L31" s="178">
        <v>612</v>
      </c>
      <c r="M31" s="178">
        <v>1309</v>
      </c>
      <c r="N31" s="177">
        <f t="shared" si="0"/>
        <v>8193</v>
      </c>
    </row>
    <row r="32" spans="1:14">
      <c r="A32" s="3" t="s">
        <v>89</v>
      </c>
      <c r="B32" s="109">
        <v>650</v>
      </c>
      <c r="C32" s="109">
        <v>526</v>
      </c>
      <c r="D32" s="109">
        <v>498</v>
      </c>
      <c r="E32" s="109">
        <v>853</v>
      </c>
      <c r="F32" s="109">
        <v>152</v>
      </c>
      <c r="G32" s="109">
        <v>29</v>
      </c>
      <c r="H32" s="109">
        <v>8</v>
      </c>
      <c r="I32" s="109">
        <v>0</v>
      </c>
      <c r="J32" s="109">
        <v>0</v>
      </c>
      <c r="K32" s="109">
        <v>164</v>
      </c>
      <c r="L32" s="178">
        <v>240</v>
      </c>
      <c r="M32" s="178">
        <v>619</v>
      </c>
      <c r="N32" s="177">
        <f t="shared" si="0"/>
        <v>3739</v>
      </c>
    </row>
    <row r="33" spans="1:14" ht="15.75" thickBot="1">
      <c r="A33" s="3" t="s">
        <v>90</v>
      </c>
      <c r="B33" s="223">
        <v>0</v>
      </c>
      <c r="C33" s="223">
        <v>0</v>
      </c>
      <c r="D33" s="223">
        <v>411</v>
      </c>
      <c r="E33" s="223">
        <v>0</v>
      </c>
      <c r="F33" s="223">
        <v>383</v>
      </c>
      <c r="G33" s="223">
        <v>289</v>
      </c>
      <c r="H33" s="223">
        <v>261</v>
      </c>
      <c r="I33" s="223">
        <v>114</v>
      </c>
      <c r="J33" s="223">
        <v>105</v>
      </c>
      <c r="K33" s="223">
        <v>0</v>
      </c>
      <c r="L33" s="179">
        <v>209</v>
      </c>
      <c r="M33" s="179">
        <v>169</v>
      </c>
      <c r="N33" s="180">
        <f t="shared" si="0"/>
        <v>1941</v>
      </c>
    </row>
    <row r="34" spans="1:14" ht="16.5" thickTop="1" thickBot="1">
      <c r="A34" s="84" t="s">
        <v>46</v>
      </c>
      <c r="B34" s="218">
        <f>SUM(B28:B33)</f>
        <v>6551</v>
      </c>
      <c r="C34" s="218">
        <f t="shared" ref="C34:M34" si="2">SUM(C28:C33)</f>
        <v>5193</v>
      </c>
      <c r="D34" s="218">
        <f t="shared" si="2"/>
        <v>5246</v>
      </c>
      <c r="E34" s="218">
        <f t="shared" si="2"/>
        <v>8073</v>
      </c>
      <c r="F34" s="218">
        <f t="shared" si="2"/>
        <v>2115</v>
      </c>
      <c r="G34" s="218">
        <f t="shared" si="2"/>
        <v>523</v>
      </c>
      <c r="H34" s="218">
        <f t="shared" si="2"/>
        <v>378</v>
      </c>
      <c r="I34" s="218">
        <f t="shared" si="2"/>
        <v>123</v>
      </c>
      <c r="J34" s="218">
        <f t="shared" si="2"/>
        <v>302</v>
      </c>
      <c r="K34" s="218">
        <f t="shared" si="2"/>
        <v>1847</v>
      </c>
      <c r="L34" s="218">
        <f t="shared" si="2"/>
        <v>3701</v>
      </c>
      <c r="M34" s="218">
        <f t="shared" si="2"/>
        <v>6395</v>
      </c>
      <c r="N34" s="238">
        <f t="shared" si="0"/>
        <v>40447</v>
      </c>
    </row>
    <row r="35" spans="1:14" ht="15.75" thickBot="1">
      <c r="B35" s="159"/>
      <c r="C35" s="159"/>
      <c r="D35" s="159"/>
      <c r="E35" s="159"/>
      <c r="F35" s="159"/>
      <c r="G35" s="159"/>
      <c r="H35" s="159"/>
      <c r="I35" s="159"/>
      <c r="J35" s="159"/>
      <c r="K35" s="159"/>
      <c r="L35" s="159"/>
      <c r="M35" s="159"/>
      <c r="N35" s="159"/>
    </row>
    <row r="36" spans="1:14" ht="15.75" thickBot="1">
      <c r="A36" s="92" t="s">
        <v>65</v>
      </c>
      <c r="B36" s="227">
        <v>12211</v>
      </c>
      <c r="C36" s="227">
        <v>13880</v>
      </c>
      <c r="D36" s="227">
        <v>10959</v>
      </c>
      <c r="E36" s="227">
        <v>6278</v>
      </c>
      <c r="F36" s="227">
        <v>2787</v>
      </c>
      <c r="G36" s="227">
        <v>2160</v>
      </c>
      <c r="H36" s="227">
        <v>270</v>
      </c>
      <c r="I36" s="227">
        <v>245</v>
      </c>
      <c r="J36" s="227">
        <v>1068</v>
      </c>
      <c r="K36" s="227">
        <v>3214</v>
      </c>
      <c r="L36" s="227">
        <v>9111</v>
      </c>
      <c r="M36" s="227">
        <v>12464</v>
      </c>
      <c r="N36" s="228">
        <f>SUM(B36:M36)</f>
        <v>74647</v>
      </c>
    </row>
    <row r="37" spans="1:14" ht="15.75" thickBot="1">
      <c r="B37" s="159"/>
      <c r="C37" s="159"/>
      <c r="D37" s="159"/>
      <c r="E37" s="159"/>
      <c r="F37" s="159"/>
      <c r="G37" s="159"/>
      <c r="H37" s="159"/>
      <c r="I37" s="159"/>
      <c r="J37" s="159"/>
      <c r="K37" s="159"/>
      <c r="L37" s="159"/>
      <c r="M37" s="159"/>
      <c r="N37" s="159"/>
    </row>
    <row r="38" spans="1:14" ht="15.75" thickBot="1">
      <c r="A38" s="85" t="s">
        <v>61</v>
      </c>
      <c r="B38" s="224">
        <f>B25+B34+B36</f>
        <v>464512</v>
      </c>
      <c r="C38" s="224">
        <f t="shared" ref="C38:N38" si="3">C25+C34+C36</f>
        <v>369560</v>
      </c>
      <c r="D38" s="224">
        <f t="shared" si="3"/>
        <v>260294</v>
      </c>
      <c r="E38" s="224">
        <f t="shared" si="3"/>
        <v>462653</v>
      </c>
      <c r="F38" s="224">
        <f t="shared" si="3"/>
        <v>107563</v>
      </c>
      <c r="G38" s="224">
        <f t="shared" si="3"/>
        <v>55602</v>
      </c>
      <c r="H38" s="224">
        <f t="shared" si="3"/>
        <v>50176</v>
      </c>
      <c r="I38" s="224">
        <f t="shared" si="3"/>
        <v>50796</v>
      </c>
      <c r="J38" s="224">
        <f t="shared" si="3"/>
        <v>81448</v>
      </c>
      <c r="K38" s="224">
        <f t="shared" si="3"/>
        <v>208991</v>
      </c>
      <c r="L38" s="224">
        <f t="shared" si="3"/>
        <v>318700</v>
      </c>
      <c r="M38" s="224">
        <f t="shared" si="3"/>
        <v>485013</v>
      </c>
      <c r="N38" s="224">
        <f t="shared" si="3"/>
        <v>2915308</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44"/>
  <sheetViews>
    <sheetView showGridLines="0" topLeftCell="A4" workbookViewId="0">
      <selection activeCell="A22" sqref="A22:XFD22"/>
    </sheetView>
  </sheetViews>
  <sheetFormatPr defaultColWidth="8.85546875" defaultRowHeight="15"/>
  <cols>
    <col min="1" max="1" width="26.7109375" style="29" customWidth="1"/>
    <col min="2" max="10" width="8.85546875" style="17"/>
    <col min="11" max="11" width="9" style="17" customWidth="1"/>
    <col min="12" max="12" width="9.140625" style="17" customWidth="1"/>
    <col min="13" max="13" width="9.42578125" style="17" customWidth="1"/>
    <col min="14" max="14" width="10.85546875" style="17" customWidth="1"/>
    <col min="15" max="16384" width="8.85546875" style="17"/>
  </cols>
  <sheetData>
    <row r="1" spans="1:14" ht="17.25" thickBot="1">
      <c r="A1" s="111" t="s">
        <v>0</v>
      </c>
      <c r="B1" s="90">
        <v>42736</v>
      </c>
      <c r="C1" s="90">
        <v>42767</v>
      </c>
      <c r="D1" s="90">
        <v>42795</v>
      </c>
      <c r="E1" s="90">
        <v>42826</v>
      </c>
      <c r="F1" s="90">
        <v>42856</v>
      </c>
      <c r="G1" s="90">
        <v>42887</v>
      </c>
      <c r="H1" s="90">
        <v>42917</v>
      </c>
      <c r="I1" s="90">
        <v>42948</v>
      </c>
      <c r="J1" s="90">
        <v>42979</v>
      </c>
      <c r="K1" s="90">
        <v>43009</v>
      </c>
      <c r="L1" s="90">
        <v>43040</v>
      </c>
      <c r="M1" s="90">
        <v>43070</v>
      </c>
      <c r="N1" s="91" t="s">
        <v>131</v>
      </c>
    </row>
    <row r="2" spans="1:14">
      <c r="A2" s="39"/>
      <c r="B2" s="30"/>
      <c r="C2" s="30"/>
      <c r="D2" s="30"/>
      <c r="E2" s="30"/>
      <c r="F2" s="30"/>
      <c r="G2" s="30"/>
      <c r="H2" s="30"/>
      <c r="I2" s="30"/>
      <c r="J2" s="30"/>
      <c r="K2" s="30"/>
      <c r="L2" s="30"/>
      <c r="M2" s="30"/>
      <c r="N2" s="4"/>
    </row>
    <row r="3" spans="1:14" ht="15.75" thickBot="1">
      <c r="A3" s="39" t="s">
        <v>51</v>
      </c>
      <c r="B3" s="30"/>
      <c r="C3" s="30"/>
      <c r="D3" s="30"/>
      <c r="E3" s="30"/>
      <c r="F3" s="30"/>
      <c r="G3" s="30"/>
      <c r="H3" s="30"/>
      <c r="I3" s="30"/>
      <c r="J3" s="30"/>
      <c r="K3" s="30"/>
      <c r="L3" s="30"/>
      <c r="M3" s="30"/>
      <c r="N3" s="4"/>
    </row>
    <row r="4" spans="1:14" ht="30">
      <c r="A4" s="100" t="s">
        <v>91</v>
      </c>
      <c r="B4" s="184">
        <v>290682</v>
      </c>
      <c r="C4" s="184">
        <v>142394</v>
      </c>
      <c r="D4" s="184">
        <v>130734</v>
      </c>
      <c r="E4" s="184">
        <v>71850</v>
      </c>
      <c r="F4" s="184">
        <v>32424</v>
      </c>
      <c r="G4" s="184">
        <v>25773</v>
      </c>
      <c r="H4" s="184">
        <v>18864</v>
      </c>
      <c r="I4" s="184">
        <v>26315</v>
      </c>
      <c r="J4" s="184">
        <v>24792</v>
      </c>
      <c r="K4" s="184">
        <v>67054</v>
      </c>
      <c r="L4" s="184">
        <v>115939</v>
      </c>
      <c r="M4" s="105">
        <v>193160</v>
      </c>
      <c r="N4" s="176">
        <f>SUM(B4:M4)</f>
        <v>1139981</v>
      </c>
    </row>
    <row r="5" spans="1:14">
      <c r="A5" s="101" t="s">
        <v>21</v>
      </c>
      <c r="B5" s="178">
        <v>42357</v>
      </c>
      <c r="C5" s="178">
        <v>40895</v>
      </c>
      <c r="D5" s="178">
        <v>38484</v>
      </c>
      <c r="E5" s="178">
        <v>20232</v>
      </c>
      <c r="F5" s="178">
        <v>3894</v>
      </c>
      <c r="G5" s="178">
        <v>459</v>
      </c>
      <c r="H5" s="178">
        <v>420</v>
      </c>
      <c r="I5" s="178">
        <v>1058</v>
      </c>
      <c r="J5" s="178">
        <v>3025</v>
      </c>
      <c r="K5" s="178">
        <v>10261</v>
      </c>
      <c r="L5" s="178">
        <v>1896.65</v>
      </c>
      <c r="M5" s="107">
        <v>29221</v>
      </c>
      <c r="N5" s="177">
        <f t="shared" ref="N5:N28" si="0">SUM(B5:M5)</f>
        <v>192202.65</v>
      </c>
    </row>
    <row r="6" spans="1:14">
      <c r="A6" s="83" t="s">
        <v>92</v>
      </c>
      <c r="B6" s="109">
        <v>1201</v>
      </c>
      <c r="C6" s="109">
        <v>1180</v>
      </c>
      <c r="D6" s="109">
        <v>1293</v>
      </c>
      <c r="E6" s="109">
        <v>995</v>
      </c>
      <c r="F6" s="109">
        <v>1008</v>
      </c>
      <c r="G6" s="110">
        <v>358</v>
      </c>
      <c r="H6" s="109">
        <v>733</v>
      </c>
      <c r="I6" s="109">
        <v>179</v>
      </c>
      <c r="J6" s="109">
        <v>1210</v>
      </c>
      <c r="K6" s="178">
        <f>653</f>
        <v>653</v>
      </c>
      <c r="L6" s="178">
        <f>1499+16</f>
        <v>1515</v>
      </c>
      <c r="M6" s="107">
        <v>1073</v>
      </c>
      <c r="N6" s="177">
        <f t="shared" si="0"/>
        <v>11398</v>
      </c>
    </row>
    <row r="7" spans="1:14">
      <c r="A7" s="83" t="s">
        <v>2</v>
      </c>
      <c r="B7" s="109">
        <v>10345</v>
      </c>
      <c r="C7" s="109">
        <v>11366</v>
      </c>
      <c r="D7" s="109">
        <v>10610</v>
      </c>
      <c r="E7" s="109">
        <v>7847</v>
      </c>
      <c r="F7" s="109">
        <v>5301</v>
      </c>
      <c r="G7" s="109">
        <v>2040</v>
      </c>
      <c r="H7" s="109">
        <v>279</v>
      </c>
      <c r="I7" s="109">
        <v>889</v>
      </c>
      <c r="J7" s="109">
        <v>338</v>
      </c>
      <c r="K7" s="178">
        <f>2884</f>
        <v>2884</v>
      </c>
      <c r="L7" s="178">
        <f>2076+99.98</f>
        <v>2175.98</v>
      </c>
      <c r="M7" s="107">
        <v>9405</v>
      </c>
      <c r="N7" s="177">
        <f t="shared" si="0"/>
        <v>63479.98</v>
      </c>
    </row>
    <row r="8" spans="1:14">
      <c r="A8" s="83" t="s">
        <v>69</v>
      </c>
      <c r="B8" s="109">
        <v>5599</v>
      </c>
      <c r="C8" s="109">
        <v>9096</v>
      </c>
      <c r="D8" s="109">
        <v>8049</v>
      </c>
      <c r="E8" s="109">
        <v>7062</v>
      </c>
      <c r="F8" s="109">
        <v>4181</v>
      </c>
      <c r="G8" s="109">
        <v>1815</v>
      </c>
      <c r="H8" s="109">
        <v>411</v>
      </c>
      <c r="I8" s="109">
        <v>898</v>
      </c>
      <c r="J8" s="109">
        <v>163</v>
      </c>
      <c r="K8" s="178">
        <f>2206</f>
        <v>2206</v>
      </c>
      <c r="L8" s="178">
        <f>4614+73.86</f>
        <v>4687.8599999999997</v>
      </c>
      <c r="M8" s="107">
        <v>6043</v>
      </c>
      <c r="N8" s="177">
        <f t="shared" si="0"/>
        <v>50210.86</v>
      </c>
    </row>
    <row r="9" spans="1:14">
      <c r="A9" s="83" t="s">
        <v>70</v>
      </c>
      <c r="B9" s="109">
        <v>1550</v>
      </c>
      <c r="C9" s="109">
        <v>2197</v>
      </c>
      <c r="D9" s="109">
        <v>2559</v>
      </c>
      <c r="E9" s="109">
        <v>1635</v>
      </c>
      <c r="F9" s="109">
        <v>1940</v>
      </c>
      <c r="G9" s="109">
        <v>411</v>
      </c>
      <c r="H9" s="109">
        <v>486</v>
      </c>
      <c r="I9" s="109">
        <v>644</v>
      </c>
      <c r="J9" s="109">
        <v>650</v>
      </c>
      <c r="K9" s="178">
        <f>1726</f>
        <v>1726</v>
      </c>
      <c r="L9" s="178">
        <f>1042+23.13</f>
        <v>1065.1300000000001</v>
      </c>
      <c r="M9" s="107">
        <v>1691</v>
      </c>
      <c r="N9" s="177">
        <f t="shared" si="0"/>
        <v>16554.13</v>
      </c>
    </row>
    <row r="10" spans="1:14">
      <c r="A10" s="83" t="s">
        <v>71</v>
      </c>
      <c r="B10" s="109">
        <v>1493</v>
      </c>
      <c r="C10" s="109">
        <v>2746</v>
      </c>
      <c r="D10" s="109">
        <v>2098</v>
      </c>
      <c r="E10" s="109">
        <v>2040</v>
      </c>
      <c r="F10" s="109">
        <v>1774</v>
      </c>
      <c r="G10" s="109">
        <v>474</v>
      </c>
      <c r="H10" s="109">
        <v>599</v>
      </c>
      <c r="I10" s="109">
        <v>691</v>
      </c>
      <c r="J10" s="109">
        <v>840</v>
      </c>
      <c r="K10" s="178">
        <f>1896</f>
        <v>1896</v>
      </c>
      <c r="L10" s="178">
        <f>1290+26.78</f>
        <v>1316.78</v>
      </c>
      <c r="M10" s="107">
        <v>1824</v>
      </c>
      <c r="N10" s="177">
        <f t="shared" si="0"/>
        <v>17791.78</v>
      </c>
    </row>
    <row r="11" spans="1:14">
      <c r="A11" s="83" t="s">
        <v>72</v>
      </c>
      <c r="B11" s="109">
        <v>2985</v>
      </c>
      <c r="C11" s="109">
        <v>2678</v>
      </c>
      <c r="D11" s="109">
        <v>4932</v>
      </c>
      <c r="E11" s="109">
        <v>2135</v>
      </c>
      <c r="F11" s="109">
        <v>2898</v>
      </c>
      <c r="G11" s="109">
        <v>1221</v>
      </c>
      <c r="H11" s="109">
        <v>1404</v>
      </c>
      <c r="I11" s="109">
        <v>1179</v>
      </c>
      <c r="J11" s="109">
        <v>2408</v>
      </c>
      <c r="K11" s="178">
        <f>1488</f>
        <v>1488</v>
      </c>
      <c r="L11" s="178">
        <f>5737+33.29</f>
        <v>5770.29</v>
      </c>
      <c r="M11" s="107">
        <v>2481</v>
      </c>
      <c r="N11" s="177">
        <f t="shared" si="0"/>
        <v>31579.29</v>
      </c>
    </row>
    <row r="12" spans="1:14">
      <c r="A12" s="83" t="s">
        <v>73</v>
      </c>
      <c r="B12" s="109">
        <v>2903</v>
      </c>
      <c r="C12" s="109">
        <v>3528</v>
      </c>
      <c r="D12" s="109">
        <v>2590</v>
      </c>
      <c r="E12" s="109">
        <v>2771</v>
      </c>
      <c r="F12" s="109">
        <v>826</v>
      </c>
      <c r="G12" s="109">
        <v>112</v>
      </c>
      <c r="H12" s="109">
        <v>37</v>
      </c>
      <c r="I12" s="109">
        <v>59</v>
      </c>
      <c r="J12" s="109">
        <v>63</v>
      </c>
      <c r="K12" s="178">
        <f>733</f>
        <v>733</v>
      </c>
      <c r="L12" s="178">
        <f>1389+28.75</f>
        <v>1417.75</v>
      </c>
      <c r="M12" s="107">
        <v>2690</v>
      </c>
      <c r="N12" s="177">
        <f t="shared" si="0"/>
        <v>17729.75</v>
      </c>
    </row>
    <row r="13" spans="1:14">
      <c r="A13" s="83" t="s">
        <v>74</v>
      </c>
      <c r="B13" s="109">
        <v>11575</v>
      </c>
      <c r="C13" s="109">
        <v>18200</v>
      </c>
      <c r="D13" s="109">
        <v>4499</v>
      </c>
      <c r="E13" s="109">
        <v>6336</v>
      </c>
      <c r="F13" s="109">
        <v>4305</v>
      </c>
      <c r="G13" s="109">
        <v>1649</v>
      </c>
      <c r="H13" s="109">
        <v>1547</v>
      </c>
      <c r="I13" s="109">
        <v>2662</v>
      </c>
      <c r="J13" s="109">
        <v>2062</v>
      </c>
      <c r="K13" s="178">
        <f>4693</f>
        <v>4693</v>
      </c>
      <c r="L13" s="178">
        <f>5849+152.2</f>
        <v>6001.2</v>
      </c>
      <c r="M13" s="107">
        <v>12531</v>
      </c>
      <c r="N13" s="177">
        <f t="shared" si="0"/>
        <v>76060.2</v>
      </c>
    </row>
    <row r="14" spans="1:14">
      <c r="A14" s="83" t="s">
        <v>75</v>
      </c>
      <c r="B14" s="109">
        <v>7698</v>
      </c>
      <c r="C14" s="109">
        <v>10500</v>
      </c>
      <c r="D14" s="109">
        <v>8168</v>
      </c>
      <c r="E14" s="109">
        <v>6581</v>
      </c>
      <c r="F14" s="109">
        <v>4080</v>
      </c>
      <c r="G14" s="110">
        <v>535</v>
      </c>
      <c r="H14" s="109">
        <v>309</v>
      </c>
      <c r="I14" s="109">
        <v>374</v>
      </c>
      <c r="J14" s="109">
        <v>121</v>
      </c>
      <c r="K14" s="178">
        <f>1727</f>
        <v>1727</v>
      </c>
      <c r="L14" s="178">
        <f>4426+78.12</f>
        <v>4504.12</v>
      </c>
      <c r="M14" s="107">
        <v>7492</v>
      </c>
      <c r="N14" s="177">
        <f t="shared" si="0"/>
        <v>52089.120000000003</v>
      </c>
    </row>
    <row r="15" spans="1:14">
      <c r="A15" s="83" t="s">
        <v>22</v>
      </c>
      <c r="B15" s="109">
        <v>862</v>
      </c>
      <c r="C15" s="109">
        <v>819</v>
      </c>
      <c r="D15" s="109">
        <v>1012</v>
      </c>
      <c r="E15" s="109">
        <v>524</v>
      </c>
      <c r="F15" s="109">
        <v>551</v>
      </c>
      <c r="G15" s="109">
        <v>672</v>
      </c>
      <c r="H15" s="109">
        <v>143</v>
      </c>
      <c r="I15" s="109">
        <v>73</v>
      </c>
      <c r="J15" s="109">
        <v>56</v>
      </c>
      <c r="K15" s="178">
        <f>169</f>
        <v>169</v>
      </c>
      <c r="L15" s="178">
        <f>272+6.14</f>
        <v>278.14</v>
      </c>
      <c r="M15" s="107">
        <v>734</v>
      </c>
      <c r="N15" s="177">
        <f t="shared" si="0"/>
        <v>5893.14</v>
      </c>
    </row>
    <row r="16" spans="1:14">
      <c r="A16" s="83" t="s">
        <v>76</v>
      </c>
      <c r="B16" s="109">
        <v>21309</v>
      </c>
      <c r="C16" s="109">
        <v>10826</v>
      </c>
      <c r="D16" s="109">
        <v>19165</v>
      </c>
      <c r="E16" s="109">
        <v>5835</v>
      </c>
      <c r="F16" s="109">
        <v>9808</v>
      </c>
      <c r="G16" s="110">
        <v>360</v>
      </c>
      <c r="H16" s="109">
        <v>101</v>
      </c>
      <c r="I16" s="109">
        <v>82</v>
      </c>
      <c r="J16" s="109">
        <v>1016</v>
      </c>
      <c r="K16" s="178">
        <f>1609</f>
        <v>1609</v>
      </c>
      <c r="L16" s="178">
        <f>7239+92.75</f>
        <v>7331.75</v>
      </c>
      <c r="M16" s="107">
        <v>13806</v>
      </c>
      <c r="N16" s="177">
        <f t="shared" si="0"/>
        <v>91248.75</v>
      </c>
    </row>
    <row r="17" spans="1:14">
      <c r="A17" s="83" t="s">
        <v>77</v>
      </c>
      <c r="B17" s="109">
        <v>205</v>
      </c>
      <c r="C17" s="109">
        <v>250</v>
      </c>
      <c r="D17" s="109">
        <v>239</v>
      </c>
      <c r="E17" s="109">
        <v>627</v>
      </c>
      <c r="F17" s="109">
        <v>366</v>
      </c>
      <c r="G17" s="109">
        <v>360</v>
      </c>
      <c r="H17" s="109">
        <v>101</v>
      </c>
      <c r="I17" s="109">
        <v>76</v>
      </c>
      <c r="J17" s="109">
        <v>186</v>
      </c>
      <c r="K17" s="178">
        <f>110</f>
        <v>110</v>
      </c>
      <c r="L17" s="178">
        <f>90+11.14</f>
        <v>101.14</v>
      </c>
      <c r="M17" s="107">
        <v>183</v>
      </c>
      <c r="N17" s="177">
        <f t="shared" si="0"/>
        <v>2804.14</v>
      </c>
    </row>
    <row r="18" spans="1:14">
      <c r="A18" s="83" t="s">
        <v>78</v>
      </c>
      <c r="B18" s="109">
        <v>1710</v>
      </c>
      <c r="C18" s="109">
        <v>1675</v>
      </c>
      <c r="D18" s="109">
        <v>1469</v>
      </c>
      <c r="E18" s="109">
        <v>942</v>
      </c>
      <c r="F18" s="109">
        <v>762</v>
      </c>
      <c r="G18" s="109">
        <v>269</v>
      </c>
      <c r="H18" s="109">
        <v>45</v>
      </c>
      <c r="I18" s="109">
        <v>160</v>
      </c>
      <c r="J18" s="109">
        <v>81</v>
      </c>
      <c r="K18" s="178">
        <f>341</f>
        <v>341</v>
      </c>
      <c r="L18" s="178">
        <f>546+13</f>
        <v>559</v>
      </c>
      <c r="M18" s="107">
        <v>1382</v>
      </c>
      <c r="N18" s="177">
        <f t="shared" si="0"/>
        <v>9395</v>
      </c>
    </row>
    <row r="19" spans="1:14">
      <c r="A19" s="25" t="s">
        <v>79</v>
      </c>
      <c r="B19" s="109">
        <v>13177</v>
      </c>
      <c r="C19" s="109">
        <v>12334</v>
      </c>
      <c r="D19" s="109">
        <v>12255</v>
      </c>
      <c r="E19" s="109">
        <v>6493</v>
      </c>
      <c r="F19" s="109">
        <v>1147</v>
      </c>
      <c r="G19" s="109">
        <v>317</v>
      </c>
      <c r="H19" s="109">
        <v>286</v>
      </c>
      <c r="I19" s="109">
        <v>480</v>
      </c>
      <c r="J19" s="109">
        <v>1536</v>
      </c>
      <c r="K19" s="178">
        <v>5891</v>
      </c>
      <c r="L19" s="178">
        <v>10482</v>
      </c>
      <c r="M19" s="107">
        <v>14238</v>
      </c>
      <c r="N19" s="177">
        <f t="shared" si="0"/>
        <v>78636</v>
      </c>
    </row>
    <row r="20" spans="1:14">
      <c r="A20" s="25" t="s">
        <v>80</v>
      </c>
      <c r="B20" s="109">
        <v>1438</v>
      </c>
      <c r="C20" s="109">
        <v>1453</v>
      </c>
      <c r="D20" s="109">
        <v>522</v>
      </c>
      <c r="E20" s="109">
        <v>520</v>
      </c>
      <c r="F20" s="110">
        <v>71</v>
      </c>
      <c r="G20" s="109">
        <v>45</v>
      </c>
      <c r="H20" s="109">
        <v>50</v>
      </c>
      <c r="I20" s="109">
        <v>31</v>
      </c>
      <c r="J20" s="109">
        <v>150</v>
      </c>
      <c r="K20" s="178">
        <v>240</v>
      </c>
      <c r="L20" s="178">
        <v>1399</v>
      </c>
      <c r="M20" s="107">
        <v>1495</v>
      </c>
      <c r="N20" s="177">
        <f t="shared" si="0"/>
        <v>7414</v>
      </c>
    </row>
    <row r="21" spans="1:14">
      <c r="A21" s="25" t="s">
        <v>81</v>
      </c>
      <c r="B21" s="109">
        <v>45561</v>
      </c>
      <c r="C21" s="109">
        <v>33655</v>
      </c>
      <c r="D21" s="109">
        <v>32170</v>
      </c>
      <c r="E21" s="109">
        <v>19059</v>
      </c>
      <c r="F21" s="109">
        <v>3697</v>
      </c>
      <c r="G21" s="109">
        <v>1615</v>
      </c>
      <c r="H21" s="109">
        <v>1620</v>
      </c>
      <c r="I21" s="109">
        <v>2258</v>
      </c>
      <c r="J21" s="109">
        <v>3916</v>
      </c>
      <c r="K21" s="178">
        <v>15204</v>
      </c>
      <c r="L21" s="178">
        <f>29320+6.14</f>
        <v>29326.14</v>
      </c>
      <c r="M21" s="107">
        <v>47285</v>
      </c>
      <c r="N21" s="177">
        <f t="shared" si="0"/>
        <v>235366.14</v>
      </c>
    </row>
    <row r="22" spans="1:14">
      <c r="A22" s="25" t="s">
        <v>23</v>
      </c>
      <c r="B22" s="109">
        <v>51988</v>
      </c>
      <c r="C22" s="109">
        <v>39812</v>
      </c>
      <c r="D22" s="109">
        <v>36260</v>
      </c>
      <c r="E22" s="109">
        <v>20433</v>
      </c>
      <c r="F22" s="109">
        <v>13592</v>
      </c>
      <c r="G22" s="109">
        <v>10331</v>
      </c>
      <c r="H22" s="109">
        <v>7085</v>
      </c>
      <c r="I22" s="109">
        <v>7487</v>
      </c>
      <c r="J22" s="109">
        <v>8405</v>
      </c>
      <c r="K22" s="178">
        <v>16889</v>
      </c>
      <c r="L22" s="178">
        <f>35991+92.75</f>
        <v>36083.75</v>
      </c>
      <c r="M22" s="107">
        <v>50571</v>
      </c>
      <c r="N22" s="177">
        <f t="shared" si="0"/>
        <v>298936.75</v>
      </c>
    </row>
    <row r="23" spans="1:14">
      <c r="A23" s="25" t="s">
        <v>82</v>
      </c>
      <c r="B23" s="109">
        <v>59329</v>
      </c>
      <c r="C23" s="109">
        <v>60234</v>
      </c>
      <c r="D23" s="109">
        <v>56097</v>
      </c>
      <c r="E23" s="109">
        <v>33008</v>
      </c>
      <c r="F23" s="109">
        <v>21556</v>
      </c>
      <c r="G23" s="109">
        <v>17892</v>
      </c>
      <c r="H23" s="109">
        <v>20829</v>
      </c>
      <c r="I23" s="109">
        <v>22748</v>
      </c>
      <c r="J23" s="109">
        <v>20614</v>
      </c>
      <c r="K23" s="178">
        <v>31112</v>
      </c>
      <c r="L23" s="178">
        <f>48189+11.14</f>
        <v>48200.14</v>
      </c>
      <c r="M23" s="107">
        <v>61442</v>
      </c>
      <c r="N23" s="177">
        <f t="shared" si="0"/>
        <v>453061.14</v>
      </c>
    </row>
    <row r="24" spans="1:14">
      <c r="A24" s="104" t="s">
        <v>24</v>
      </c>
      <c r="B24" s="109">
        <v>18276</v>
      </c>
      <c r="C24" s="109">
        <v>17774</v>
      </c>
      <c r="D24" s="109">
        <v>17087</v>
      </c>
      <c r="E24" s="109">
        <v>11379</v>
      </c>
      <c r="F24" s="109">
        <v>10853</v>
      </c>
      <c r="G24" s="109">
        <v>8560</v>
      </c>
      <c r="H24" s="109">
        <v>6623</v>
      </c>
      <c r="I24" s="109">
        <v>7239</v>
      </c>
      <c r="J24" s="109">
        <v>11572</v>
      </c>
      <c r="K24" s="178">
        <v>11327</v>
      </c>
      <c r="L24" s="178">
        <f>16124+13</f>
        <v>16137</v>
      </c>
      <c r="M24" s="107">
        <v>19443</v>
      </c>
      <c r="N24" s="177">
        <f t="shared" si="0"/>
        <v>156270</v>
      </c>
    </row>
    <row r="25" spans="1:14">
      <c r="A25" s="104" t="s">
        <v>25</v>
      </c>
      <c r="B25" s="109" t="s">
        <v>42</v>
      </c>
      <c r="C25" s="109" t="s">
        <v>42</v>
      </c>
      <c r="D25" s="109" t="s">
        <v>42</v>
      </c>
      <c r="E25" s="109" t="s">
        <v>42</v>
      </c>
      <c r="F25" s="109" t="s">
        <v>42</v>
      </c>
      <c r="G25" s="109" t="s">
        <v>42</v>
      </c>
      <c r="H25" s="109" t="s">
        <v>42</v>
      </c>
      <c r="I25" s="109" t="s">
        <v>42</v>
      </c>
      <c r="J25" s="109">
        <v>139</v>
      </c>
      <c r="K25" s="178">
        <v>2490</v>
      </c>
      <c r="L25" s="178">
        <v>10847</v>
      </c>
      <c r="M25" s="107">
        <v>11757</v>
      </c>
      <c r="N25" s="177">
        <f t="shared" si="0"/>
        <v>25233</v>
      </c>
    </row>
    <row r="26" spans="1:14">
      <c r="A26" s="104" t="s">
        <v>83</v>
      </c>
      <c r="B26" s="109" t="s">
        <v>42</v>
      </c>
      <c r="C26" s="109" t="s">
        <v>42</v>
      </c>
      <c r="D26" s="109" t="s">
        <v>42</v>
      </c>
      <c r="E26" s="109">
        <f>629+3232</f>
        <v>3861</v>
      </c>
      <c r="F26" s="109">
        <v>3232</v>
      </c>
      <c r="G26" s="109">
        <v>323</v>
      </c>
      <c r="H26" s="109">
        <v>43</v>
      </c>
      <c r="I26" s="109">
        <v>45</v>
      </c>
      <c r="J26" s="109">
        <v>6</v>
      </c>
      <c r="K26" s="178">
        <v>691</v>
      </c>
      <c r="L26" s="178">
        <v>2355</v>
      </c>
      <c r="M26" s="107">
        <f>(L26+3656)/2</f>
        <v>3005.5</v>
      </c>
      <c r="N26" s="177">
        <f t="shared" si="0"/>
        <v>13561.5</v>
      </c>
    </row>
    <row r="27" spans="1:14">
      <c r="A27" s="104" t="s">
        <v>84</v>
      </c>
      <c r="B27" s="109" t="s">
        <v>42</v>
      </c>
      <c r="C27" s="109">
        <v>0</v>
      </c>
      <c r="D27" s="109">
        <v>18</v>
      </c>
      <c r="E27" s="109">
        <v>1713</v>
      </c>
      <c r="F27" s="109">
        <v>108</v>
      </c>
      <c r="G27" s="109">
        <v>1</v>
      </c>
      <c r="H27" s="109">
        <v>1</v>
      </c>
      <c r="I27" s="109">
        <v>3</v>
      </c>
      <c r="J27" s="109">
        <v>1</v>
      </c>
      <c r="K27" s="178">
        <v>2</v>
      </c>
      <c r="L27" s="107">
        <v>7</v>
      </c>
      <c r="M27" s="178">
        <v>16</v>
      </c>
      <c r="N27" s="177">
        <f t="shared" si="0"/>
        <v>1870</v>
      </c>
    </row>
    <row r="28" spans="1:14" ht="15.75" thickBot="1">
      <c r="A28" s="104" t="s">
        <v>84</v>
      </c>
      <c r="B28" s="223" t="s">
        <v>42</v>
      </c>
      <c r="C28" s="223" t="s">
        <v>42</v>
      </c>
      <c r="D28" s="223">
        <v>13</v>
      </c>
      <c r="E28" s="223">
        <f>0+18</f>
        <v>18</v>
      </c>
      <c r="F28" s="223">
        <v>1437</v>
      </c>
      <c r="G28" s="223">
        <v>3</v>
      </c>
      <c r="H28" s="223">
        <v>2</v>
      </c>
      <c r="I28" s="223">
        <v>5</v>
      </c>
      <c r="J28" s="223">
        <v>13</v>
      </c>
      <c r="K28" s="179">
        <v>3</v>
      </c>
      <c r="L28" s="156">
        <v>15</v>
      </c>
      <c r="M28" s="179">
        <v>650</v>
      </c>
      <c r="N28" s="180">
        <f t="shared" si="0"/>
        <v>2159</v>
      </c>
    </row>
    <row r="29" spans="1:14" ht="16.5" thickTop="1" thickBot="1">
      <c r="A29" s="112" t="s">
        <v>45</v>
      </c>
      <c r="B29" s="218">
        <f>SUM(B4:B28)</f>
        <v>592243</v>
      </c>
      <c r="C29" s="218">
        <f t="shared" ref="C29:N29" si="1">SUM(C4:C28)</f>
        <v>423612</v>
      </c>
      <c r="D29" s="218">
        <f t="shared" si="1"/>
        <v>390323</v>
      </c>
      <c r="E29" s="218">
        <f t="shared" si="1"/>
        <v>233896</v>
      </c>
      <c r="F29" s="218">
        <f t="shared" si="1"/>
        <v>129811</v>
      </c>
      <c r="G29" s="218">
        <f t="shared" si="1"/>
        <v>75595</v>
      </c>
      <c r="H29" s="218">
        <f t="shared" si="1"/>
        <v>62018</v>
      </c>
      <c r="I29" s="218">
        <f t="shared" si="1"/>
        <v>75635</v>
      </c>
      <c r="J29" s="218">
        <f t="shared" si="1"/>
        <v>83363</v>
      </c>
      <c r="K29" s="218">
        <f t="shared" si="1"/>
        <v>181399</v>
      </c>
      <c r="L29" s="218">
        <f t="shared" si="1"/>
        <v>309411.82000000007</v>
      </c>
      <c r="M29" s="218">
        <f t="shared" si="1"/>
        <v>493618.5</v>
      </c>
      <c r="N29" s="218">
        <f t="shared" si="1"/>
        <v>3050925.32</v>
      </c>
    </row>
    <row r="30" spans="1:14">
      <c r="A30" s="39"/>
      <c r="B30" s="182"/>
      <c r="C30" s="182"/>
      <c r="D30" s="182"/>
      <c r="E30" s="182"/>
      <c r="F30" s="182"/>
      <c r="G30" s="182"/>
      <c r="H30" s="182"/>
      <c r="I30" s="182"/>
      <c r="J30" s="182"/>
      <c r="K30" s="182"/>
      <c r="L30" s="182"/>
      <c r="M30" s="182"/>
      <c r="N30" s="183"/>
    </row>
    <row r="31" spans="1:14" ht="15.75" thickBot="1">
      <c r="A31" s="39" t="s">
        <v>15</v>
      </c>
      <c r="B31" s="182"/>
      <c r="C31" s="182"/>
      <c r="D31" s="182"/>
      <c r="E31" s="182"/>
      <c r="F31" s="182"/>
      <c r="G31" s="182"/>
      <c r="H31" s="182"/>
      <c r="I31" s="182"/>
      <c r="J31" s="182"/>
      <c r="K31" s="182"/>
      <c r="L31" s="182"/>
      <c r="M31" s="182"/>
      <c r="N31" s="183"/>
    </row>
    <row r="32" spans="1:14">
      <c r="A32" s="5" t="s">
        <v>85</v>
      </c>
      <c r="B32" s="222">
        <v>1971</v>
      </c>
      <c r="C32" s="222">
        <v>2098</v>
      </c>
      <c r="D32" s="222">
        <v>1676</v>
      </c>
      <c r="E32" s="222">
        <v>1136</v>
      </c>
      <c r="F32" s="222">
        <v>733</v>
      </c>
      <c r="G32" s="236">
        <v>55</v>
      </c>
      <c r="H32" s="222">
        <v>12</v>
      </c>
      <c r="I32" s="222">
        <v>0</v>
      </c>
      <c r="J32" s="222">
        <v>0</v>
      </c>
      <c r="K32" s="184">
        <f>288</f>
        <v>288</v>
      </c>
      <c r="L32" s="184">
        <f>1154+15.08</f>
        <v>1169.08</v>
      </c>
      <c r="M32" s="105">
        <v>1774</v>
      </c>
      <c r="N32" s="176">
        <f>SUM(B32:M32)</f>
        <v>10912.08</v>
      </c>
    </row>
    <row r="33" spans="1:14">
      <c r="A33" s="3" t="s">
        <v>86</v>
      </c>
      <c r="B33" s="107">
        <v>939</v>
      </c>
      <c r="C33" s="109">
        <v>687</v>
      </c>
      <c r="D33" s="109">
        <v>458</v>
      </c>
      <c r="E33" s="109">
        <v>238</v>
      </c>
      <c r="F33" s="110">
        <v>85</v>
      </c>
      <c r="G33" s="110">
        <v>2</v>
      </c>
      <c r="H33" s="109">
        <v>16</v>
      </c>
      <c r="I33" s="109">
        <v>6</v>
      </c>
      <c r="J33" s="109">
        <v>137</v>
      </c>
      <c r="K33" s="178">
        <v>467</v>
      </c>
      <c r="L33" s="178">
        <v>813</v>
      </c>
      <c r="M33" s="107">
        <v>1453</v>
      </c>
      <c r="N33" s="177">
        <f t="shared" ref="N33:N38" si="2">SUM(B33:M33)</f>
        <v>5301</v>
      </c>
    </row>
    <row r="34" spans="1:14">
      <c r="A34" s="3" t="s">
        <v>87</v>
      </c>
      <c r="B34" s="109">
        <v>1846</v>
      </c>
      <c r="C34" s="109">
        <v>2330</v>
      </c>
      <c r="D34" s="109">
        <v>1913</v>
      </c>
      <c r="E34" s="109">
        <v>1170</v>
      </c>
      <c r="F34" s="109">
        <v>627</v>
      </c>
      <c r="G34" s="110">
        <v>0</v>
      </c>
      <c r="H34" s="109">
        <v>0</v>
      </c>
      <c r="I34" s="109">
        <v>0</v>
      </c>
      <c r="J34" s="109">
        <v>0</v>
      </c>
      <c r="K34" s="178">
        <f>329</f>
        <v>329</v>
      </c>
      <c r="L34" s="178">
        <f>1300+16.56</f>
        <v>1316.56</v>
      </c>
      <c r="M34" s="107">
        <v>1888</v>
      </c>
      <c r="N34" s="177">
        <f t="shared" si="2"/>
        <v>11419.56</v>
      </c>
    </row>
    <row r="35" spans="1:14">
      <c r="A35" s="3" t="s">
        <v>88</v>
      </c>
      <c r="B35" s="109">
        <v>1794</v>
      </c>
      <c r="C35" s="109">
        <v>1759</v>
      </c>
      <c r="D35" s="109">
        <v>1508</v>
      </c>
      <c r="E35" s="109">
        <v>790</v>
      </c>
      <c r="F35" s="109">
        <v>631</v>
      </c>
      <c r="G35" s="110">
        <v>0</v>
      </c>
      <c r="H35" s="109">
        <v>0</v>
      </c>
      <c r="I35" s="109">
        <v>0</v>
      </c>
      <c r="J35" s="109">
        <v>0</v>
      </c>
      <c r="K35" s="178">
        <f>219</f>
        <v>219</v>
      </c>
      <c r="L35" s="178">
        <f>622+11.68</f>
        <v>633.67999999999995</v>
      </c>
      <c r="M35" s="107">
        <v>1554</v>
      </c>
      <c r="N35" s="177">
        <f t="shared" si="2"/>
        <v>8888.68</v>
      </c>
    </row>
    <row r="36" spans="1:14">
      <c r="A36" s="3" t="s">
        <v>89</v>
      </c>
      <c r="B36" s="109">
        <v>718</v>
      </c>
      <c r="C36" s="109">
        <v>790</v>
      </c>
      <c r="D36" s="109">
        <v>629</v>
      </c>
      <c r="E36" s="109">
        <v>362</v>
      </c>
      <c r="F36" s="109">
        <v>192</v>
      </c>
      <c r="G36" s="110">
        <v>24</v>
      </c>
      <c r="H36" s="109">
        <v>6</v>
      </c>
      <c r="I36" s="109">
        <v>0</v>
      </c>
      <c r="J36" s="109">
        <v>0</v>
      </c>
      <c r="K36" s="178">
        <f>91</f>
        <v>91</v>
      </c>
      <c r="L36" s="178">
        <f>366+5.61</f>
        <v>371.61</v>
      </c>
      <c r="M36" s="107">
        <v>670</v>
      </c>
      <c r="N36" s="177">
        <f t="shared" si="2"/>
        <v>3853.61</v>
      </c>
    </row>
    <row r="37" spans="1:14" ht="15.75" thickBot="1">
      <c r="A37" s="3" t="s">
        <v>90</v>
      </c>
      <c r="B37" s="223">
        <v>237</v>
      </c>
      <c r="C37" s="223">
        <v>0</v>
      </c>
      <c r="D37" s="223">
        <v>511</v>
      </c>
      <c r="E37" s="223">
        <v>0</v>
      </c>
      <c r="F37" s="223">
        <v>459</v>
      </c>
      <c r="G37" s="237">
        <v>0</v>
      </c>
      <c r="H37" s="223">
        <v>451</v>
      </c>
      <c r="I37" s="223">
        <v>115</v>
      </c>
      <c r="J37" s="223">
        <v>339</v>
      </c>
      <c r="K37" s="179">
        <f>238</f>
        <v>238</v>
      </c>
      <c r="L37" s="179">
        <f>200+1.6</f>
        <v>201.6</v>
      </c>
      <c r="M37" s="156">
        <v>210</v>
      </c>
      <c r="N37" s="180">
        <f t="shared" si="2"/>
        <v>2761.6</v>
      </c>
    </row>
    <row r="38" spans="1:14" ht="16.5" thickTop="1" thickBot="1">
      <c r="A38" s="113" t="s">
        <v>46</v>
      </c>
      <c r="B38" s="218">
        <f>SUM(B32:B37)</f>
        <v>7505</v>
      </c>
      <c r="C38" s="218">
        <f t="shared" ref="C38:J38" si="3">SUM(C32:C37)</f>
        <v>7664</v>
      </c>
      <c r="D38" s="218">
        <f t="shared" si="3"/>
        <v>6695</v>
      </c>
      <c r="E38" s="218">
        <f t="shared" si="3"/>
        <v>3696</v>
      </c>
      <c r="F38" s="218">
        <f t="shared" si="3"/>
        <v>2727</v>
      </c>
      <c r="G38" s="218">
        <f>SUM(G33:G36)</f>
        <v>26</v>
      </c>
      <c r="H38" s="218">
        <f>SUM(H33:H36)</f>
        <v>22</v>
      </c>
      <c r="I38" s="218">
        <f t="shared" si="3"/>
        <v>121</v>
      </c>
      <c r="J38" s="218">
        <f t="shared" si="3"/>
        <v>476</v>
      </c>
      <c r="K38" s="218">
        <f>SUM(K32:K37)</f>
        <v>1632</v>
      </c>
      <c r="L38" s="218">
        <f>SUM(L32:L37)</f>
        <v>4505.53</v>
      </c>
      <c r="M38" s="218">
        <f>SUM(M32:M37)</f>
        <v>7549</v>
      </c>
      <c r="N38" s="219">
        <f t="shared" si="2"/>
        <v>42618.53</v>
      </c>
    </row>
    <row r="39" spans="1:14" ht="15.75" thickBot="1">
      <c r="B39" s="159"/>
      <c r="C39" s="159"/>
      <c r="D39" s="159"/>
      <c r="E39" s="159"/>
      <c r="F39" s="159"/>
      <c r="G39" s="159"/>
      <c r="H39" s="159"/>
      <c r="I39" s="159"/>
      <c r="J39" s="159"/>
      <c r="K39" s="159"/>
      <c r="L39" s="159"/>
      <c r="M39" s="159"/>
      <c r="N39" s="159"/>
    </row>
    <row r="40" spans="1:14" ht="15.75" thickBot="1">
      <c r="A40" s="114" t="s">
        <v>65</v>
      </c>
      <c r="B40" s="227">
        <v>13436</v>
      </c>
      <c r="C40" s="227">
        <v>14623</v>
      </c>
      <c r="D40" s="227">
        <v>10518</v>
      </c>
      <c r="E40" s="227">
        <v>5580</v>
      </c>
      <c r="F40" s="227">
        <v>3237</v>
      </c>
      <c r="G40" s="227">
        <v>307</v>
      </c>
      <c r="H40" s="227">
        <v>145</v>
      </c>
      <c r="I40" s="227">
        <v>296</v>
      </c>
      <c r="J40" s="227">
        <v>917</v>
      </c>
      <c r="K40" s="227">
        <v>1859</v>
      </c>
      <c r="L40" s="227">
        <v>10107</v>
      </c>
      <c r="M40" s="227">
        <v>14540</v>
      </c>
      <c r="N40" s="228">
        <f>SUM(B40:M40)</f>
        <v>75565</v>
      </c>
    </row>
    <row r="41" spans="1:14" ht="15.75" thickBot="1">
      <c r="B41" s="159"/>
      <c r="C41" s="159"/>
      <c r="D41" s="159"/>
      <c r="E41" s="159"/>
      <c r="F41" s="159"/>
      <c r="G41" s="159"/>
      <c r="H41" s="159"/>
      <c r="I41" s="159"/>
      <c r="J41" s="159"/>
      <c r="K41" s="159"/>
      <c r="L41" s="159"/>
      <c r="M41" s="159"/>
      <c r="N41" s="159"/>
    </row>
    <row r="42" spans="1:14" ht="15.75" thickBot="1">
      <c r="A42" s="115" t="s">
        <v>61</v>
      </c>
      <c r="B42" s="224">
        <f>B29+B38+B40</f>
        <v>613184</v>
      </c>
      <c r="C42" s="224">
        <f t="shared" ref="C42:N42" si="4">C29+C38+C40</f>
        <v>445899</v>
      </c>
      <c r="D42" s="224">
        <f t="shared" si="4"/>
        <v>407536</v>
      </c>
      <c r="E42" s="224">
        <f t="shared" si="4"/>
        <v>243172</v>
      </c>
      <c r="F42" s="224">
        <f t="shared" si="4"/>
        <v>135775</v>
      </c>
      <c r="G42" s="224">
        <f t="shared" si="4"/>
        <v>75928</v>
      </c>
      <c r="H42" s="224">
        <f t="shared" si="4"/>
        <v>62185</v>
      </c>
      <c r="I42" s="224">
        <f t="shared" si="4"/>
        <v>76052</v>
      </c>
      <c r="J42" s="224">
        <f t="shared" si="4"/>
        <v>84756</v>
      </c>
      <c r="K42" s="224">
        <f t="shared" si="4"/>
        <v>184890</v>
      </c>
      <c r="L42" s="224">
        <f t="shared" si="4"/>
        <v>324024.35000000009</v>
      </c>
      <c r="M42" s="224">
        <f t="shared" si="4"/>
        <v>515707.5</v>
      </c>
      <c r="N42" s="224">
        <f t="shared" si="4"/>
        <v>3169108.8499999996</v>
      </c>
    </row>
    <row r="44" spans="1:14">
      <c r="A44" s="29"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7"/>
  <sheetViews>
    <sheetView showGridLines="0" workbookViewId="0">
      <selection activeCell="N5" sqref="N5"/>
    </sheetView>
  </sheetViews>
  <sheetFormatPr defaultColWidth="8.85546875" defaultRowHeight="15"/>
  <cols>
    <col min="1" max="1" width="27" style="17" customWidth="1"/>
    <col min="2" max="13" width="10.7109375" style="17" bestFit="1" customWidth="1"/>
    <col min="14" max="14" width="11.42578125" style="17" customWidth="1"/>
    <col min="15" max="16384" width="8.85546875" style="17"/>
  </cols>
  <sheetData>
    <row r="1" spans="1:14" ht="15.75" thickBot="1">
      <c r="A1" s="66" t="s">
        <v>0</v>
      </c>
      <c r="B1" s="35">
        <v>39083</v>
      </c>
      <c r="C1" s="35">
        <v>39114</v>
      </c>
      <c r="D1" s="35">
        <v>39142</v>
      </c>
      <c r="E1" s="35">
        <v>39173</v>
      </c>
      <c r="F1" s="35">
        <v>39203</v>
      </c>
      <c r="G1" s="35">
        <v>39234</v>
      </c>
      <c r="H1" s="35">
        <v>39264</v>
      </c>
      <c r="I1" s="35">
        <v>39295</v>
      </c>
      <c r="J1" s="35">
        <v>39326</v>
      </c>
      <c r="K1" s="35">
        <v>39356</v>
      </c>
      <c r="L1" s="35">
        <v>39387</v>
      </c>
      <c r="M1" s="35">
        <v>39417</v>
      </c>
      <c r="N1" s="36" t="s">
        <v>130</v>
      </c>
    </row>
    <row r="2" spans="1:14">
      <c r="A2" s="19"/>
      <c r="B2" s="32"/>
      <c r="C2" s="32"/>
      <c r="D2" s="32"/>
      <c r="E2" s="32"/>
      <c r="F2" s="32"/>
      <c r="G2" s="32"/>
      <c r="H2" s="32"/>
      <c r="I2" s="32"/>
      <c r="J2" s="32"/>
      <c r="K2" s="32"/>
      <c r="L2" s="32"/>
      <c r="M2" s="32"/>
      <c r="N2" s="46"/>
    </row>
    <row r="3" spans="1:14" ht="15.75" thickBot="1">
      <c r="A3" s="21" t="s">
        <v>1</v>
      </c>
      <c r="B3" s="30"/>
      <c r="C3" s="30"/>
      <c r="D3" s="30"/>
      <c r="E3" s="30"/>
      <c r="F3" s="30"/>
      <c r="G3" s="30"/>
      <c r="H3" s="30"/>
      <c r="I3" s="30"/>
      <c r="J3" s="30"/>
      <c r="K3" s="30"/>
      <c r="L3" s="30"/>
      <c r="M3" s="30"/>
      <c r="N3" s="4"/>
    </row>
    <row r="4" spans="1:14">
      <c r="A4" s="86" t="s">
        <v>55</v>
      </c>
      <c r="B4" s="105">
        <v>809938</v>
      </c>
      <c r="C4" s="105">
        <v>836076</v>
      </c>
      <c r="D4" s="105">
        <v>1152284</v>
      </c>
      <c r="E4" s="105">
        <v>754410</v>
      </c>
      <c r="F4" s="105">
        <v>818837</v>
      </c>
      <c r="G4" s="105">
        <v>989428</v>
      </c>
      <c r="H4" s="105">
        <v>1245490</v>
      </c>
      <c r="I4" s="105">
        <v>1267883</v>
      </c>
      <c r="J4" s="105">
        <v>1291223</v>
      </c>
      <c r="K4" s="105">
        <v>948186</v>
      </c>
      <c r="L4" s="105">
        <v>1315186</v>
      </c>
      <c r="M4" s="105">
        <v>766267</v>
      </c>
      <c r="N4" s="107">
        <f>SUM(B4:M4)</f>
        <v>12195208</v>
      </c>
    </row>
    <row r="5" spans="1:14">
      <c r="A5" s="25" t="s">
        <v>2</v>
      </c>
      <c r="B5" s="107">
        <v>64176</v>
      </c>
      <c r="C5" s="107">
        <v>68392</v>
      </c>
      <c r="D5" s="107">
        <v>60485</v>
      </c>
      <c r="E5" s="107">
        <v>51615</v>
      </c>
      <c r="F5" s="107">
        <v>50237</v>
      </c>
      <c r="G5" s="107">
        <v>50184</v>
      </c>
      <c r="H5" s="107">
        <v>50981</v>
      </c>
      <c r="I5" s="107">
        <v>53526</v>
      </c>
      <c r="J5" s="107">
        <v>52420</v>
      </c>
      <c r="K5" s="107">
        <v>52150</v>
      </c>
      <c r="L5" s="107">
        <v>52353</v>
      </c>
      <c r="M5" s="107">
        <v>58015</v>
      </c>
      <c r="N5" s="107">
        <f t="shared" ref="N5:N8" si="0">SUM(B5:M5)</f>
        <v>664534</v>
      </c>
    </row>
    <row r="6" spans="1:14">
      <c r="A6" s="25" t="s">
        <v>57</v>
      </c>
      <c r="B6" s="107">
        <v>1723</v>
      </c>
      <c r="C6" s="107">
        <v>1215</v>
      </c>
      <c r="D6" s="107">
        <v>978</v>
      </c>
      <c r="E6" s="107">
        <v>417</v>
      </c>
      <c r="F6" s="107">
        <v>191</v>
      </c>
      <c r="G6" s="107">
        <v>176</v>
      </c>
      <c r="H6" s="107">
        <v>132</v>
      </c>
      <c r="I6" s="107">
        <v>212</v>
      </c>
      <c r="J6" s="107">
        <v>356</v>
      </c>
      <c r="K6" s="107">
        <v>849</v>
      </c>
      <c r="L6" s="107">
        <v>1345</v>
      </c>
      <c r="M6" s="107">
        <v>1481</v>
      </c>
      <c r="N6" s="107">
        <f t="shared" si="0"/>
        <v>9075</v>
      </c>
    </row>
    <row r="7" spans="1:14">
      <c r="A7" s="25" t="s">
        <v>58</v>
      </c>
      <c r="B7" s="107">
        <v>4477</v>
      </c>
      <c r="C7" s="107">
        <v>3986</v>
      </c>
      <c r="D7" s="107">
        <v>3635</v>
      </c>
      <c r="E7" s="107">
        <v>2652</v>
      </c>
      <c r="F7" s="107">
        <v>1283</v>
      </c>
      <c r="G7" s="107">
        <v>1457</v>
      </c>
      <c r="H7" s="107">
        <v>1286</v>
      </c>
      <c r="I7" s="107">
        <v>1281</v>
      </c>
      <c r="J7" s="107">
        <v>1258</v>
      </c>
      <c r="K7" s="107">
        <v>2821</v>
      </c>
      <c r="L7" s="107">
        <v>3175</v>
      </c>
      <c r="M7" s="107">
        <v>3423</v>
      </c>
      <c r="N7" s="107">
        <f t="shared" si="0"/>
        <v>30734</v>
      </c>
    </row>
    <row r="8" spans="1:14" ht="15.75" thickBot="1">
      <c r="A8" s="25" t="s">
        <v>59</v>
      </c>
      <c r="B8" s="156">
        <v>0</v>
      </c>
      <c r="C8" s="156">
        <v>0</v>
      </c>
      <c r="D8" s="156">
        <v>0</v>
      </c>
      <c r="E8" s="156">
        <v>0</v>
      </c>
      <c r="F8" s="156">
        <v>0</v>
      </c>
      <c r="G8" s="156">
        <v>0</v>
      </c>
      <c r="H8" s="156">
        <v>26</v>
      </c>
      <c r="I8" s="156">
        <v>0</v>
      </c>
      <c r="J8" s="156">
        <v>0</v>
      </c>
      <c r="K8" s="156">
        <v>0</v>
      </c>
      <c r="L8" s="156">
        <v>0</v>
      </c>
      <c r="M8" s="156">
        <v>0</v>
      </c>
      <c r="N8" s="156">
        <f t="shared" si="0"/>
        <v>26</v>
      </c>
    </row>
    <row r="9" spans="1:14" ht="16.5" thickTop="1" thickBot="1">
      <c r="A9" s="64" t="s">
        <v>45</v>
      </c>
      <c r="B9" s="157">
        <f>SUM(B4:B8)</f>
        <v>880314</v>
      </c>
      <c r="C9" s="157">
        <f t="shared" ref="C9:N9" si="1">SUM(C4:C8)</f>
        <v>909669</v>
      </c>
      <c r="D9" s="157">
        <f t="shared" si="1"/>
        <v>1217382</v>
      </c>
      <c r="E9" s="157">
        <f t="shared" si="1"/>
        <v>809094</v>
      </c>
      <c r="F9" s="157">
        <f t="shared" si="1"/>
        <v>870548</v>
      </c>
      <c r="G9" s="157">
        <f t="shared" si="1"/>
        <v>1041245</v>
      </c>
      <c r="H9" s="157">
        <f t="shared" si="1"/>
        <v>1297915</v>
      </c>
      <c r="I9" s="157">
        <f t="shared" si="1"/>
        <v>1322902</v>
      </c>
      <c r="J9" s="157">
        <f t="shared" si="1"/>
        <v>1345257</v>
      </c>
      <c r="K9" s="157">
        <f t="shared" si="1"/>
        <v>1004006</v>
      </c>
      <c r="L9" s="157">
        <f t="shared" si="1"/>
        <v>1372059</v>
      </c>
      <c r="M9" s="157">
        <f t="shared" si="1"/>
        <v>829186</v>
      </c>
      <c r="N9" s="157">
        <f t="shared" si="1"/>
        <v>12899577</v>
      </c>
    </row>
    <row r="10" spans="1:14">
      <c r="A10" s="19"/>
      <c r="B10" s="158"/>
      <c r="C10" s="158"/>
      <c r="D10" s="158"/>
      <c r="E10" s="158"/>
      <c r="F10" s="158"/>
      <c r="G10" s="158"/>
      <c r="H10" s="158"/>
      <c r="I10" s="158"/>
      <c r="J10" s="158"/>
      <c r="K10" s="158"/>
      <c r="L10" s="158"/>
      <c r="M10" s="158"/>
      <c r="N10" s="158"/>
    </row>
    <row r="11" spans="1:14" ht="15.75" thickBot="1">
      <c r="A11" s="21" t="s">
        <v>15</v>
      </c>
      <c r="B11" s="159"/>
      <c r="C11" s="159"/>
      <c r="D11" s="159"/>
      <c r="E11" s="159"/>
      <c r="F11" s="159"/>
      <c r="G11" s="159"/>
      <c r="H11" s="159"/>
      <c r="I11" s="159"/>
      <c r="J11" s="159"/>
      <c r="K11" s="159"/>
      <c r="L11" s="159"/>
      <c r="M11" s="159"/>
      <c r="N11" s="159"/>
    </row>
    <row r="12" spans="1:14">
      <c r="A12" s="86" t="s">
        <v>112</v>
      </c>
      <c r="B12" s="105">
        <v>719</v>
      </c>
      <c r="C12" s="105">
        <v>806</v>
      </c>
      <c r="D12" s="105">
        <v>678</v>
      </c>
      <c r="E12" s="105">
        <v>555</v>
      </c>
      <c r="F12" s="105">
        <v>555</v>
      </c>
      <c r="G12" s="105">
        <v>1316</v>
      </c>
      <c r="H12" s="105">
        <v>1491</v>
      </c>
      <c r="I12" s="105">
        <v>1521</v>
      </c>
      <c r="J12" s="105">
        <v>1007</v>
      </c>
      <c r="K12" s="105">
        <v>696</v>
      </c>
      <c r="L12" s="105">
        <v>827</v>
      </c>
      <c r="M12" s="105">
        <v>766</v>
      </c>
      <c r="N12" s="107">
        <f>SUM(B12:M12)</f>
        <v>10937</v>
      </c>
    </row>
    <row r="13" spans="1:14">
      <c r="A13" s="25" t="s">
        <v>98</v>
      </c>
      <c r="B13" s="107">
        <v>11080</v>
      </c>
      <c r="C13" s="107">
        <v>11360</v>
      </c>
      <c r="D13" s="107">
        <v>5800</v>
      </c>
      <c r="E13" s="107">
        <v>2680</v>
      </c>
      <c r="F13" s="107">
        <v>920</v>
      </c>
      <c r="G13" s="107">
        <v>200</v>
      </c>
      <c r="H13" s="107">
        <v>360</v>
      </c>
      <c r="I13" s="107">
        <v>40</v>
      </c>
      <c r="J13" s="107">
        <v>160</v>
      </c>
      <c r="K13" s="107">
        <v>2720</v>
      </c>
      <c r="L13" s="107">
        <v>7560</v>
      </c>
      <c r="M13" s="107">
        <v>8040</v>
      </c>
      <c r="N13" s="107">
        <f t="shared" ref="N13:N21" si="2">SUM(B13:M13)</f>
        <v>50920</v>
      </c>
    </row>
    <row r="14" spans="1:14">
      <c r="A14" s="25" t="s">
        <v>85</v>
      </c>
      <c r="B14" s="107">
        <v>5470</v>
      </c>
      <c r="C14" s="107">
        <v>5793</v>
      </c>
      <c r="D14" s="107">
        <v>3833</v>
      </c>
      <c r="E14" s="107">
        <v>2485</v>
      </c>
      <c r="F14" s="107">
        <v>2410</v>
      </c>
      <c r="G14" s="107">
        <v>1922</v>
      </c>
      <c r="H14" s="107">
        <v>1756</v>
      </c>
      <c r="I14" s="107">
        <v>2289</v>
      </c>
      <c r="J14" s="107">
        <v>2425</v>
      </c>
      <c r="K14" s="107">
        <v>2986</v>
      </c>
      <c r="L14" s="107">
        <v>4941</v>
      </c>
      <c r="M14" s="107">
        <v>4888</v>
      </c>
      <c r="N14" s="107">
        <f t="shared" si="2"/>
        <v>41198</v>
      </c>
    </row>
    <row r="15" spans="1:14">
      <c r="A15" s="25" t="s">
        <v>101</v>
      </c>
      <c r="B15" s="107">
        <v>2913</v>
      </c>
      <c r="C15" s="107">
        <v>2850</v>
      </c>
      <c r="D15" s="107">
        <v>2470</v>
      </c>
      <c r="E15" s="107">
        <v>1686</v>
      </c>
      <c r="F15" s="107">
        <v>407</v>
      </c>
      <c r="G15" s="107">
        <v>466</v>
      </c>
      <c r="H15" s="107">
        <v>576</v>
      </c>
      <c r="I15" s="107">
        <v>804</v>
      </c>
      <c r="J15" s="107">
        <v>2100</v>
      </c>
      <c r="K15" s="107">
        <v>2316</v>
      </c>
      <c r="L15" s="107">
        <v>1577.5</v>
      </c>
      <c r="M15" s="107">
        <v>839</v>
      </c>
      <c r="N15" s="107">
        <f t="shared" si="2"/>
        <v>19004.5</v>
      </c>
    </row>
    <row r="16" spans="1:14">
      <c r="A16" s="25" t="s">
        <v>93</v>
      </c>
      <c r="B16" s="107">
        <v>6295</v>
      </c>
      <c r="C16" s="107">
        <v>6401</v>
      </c>
      <c r="D16" s="107">
        <v>6499</v>
      </c>
      <c r="E16" s="107">
        <v>4266</v>
      </c>
      <c r="F16" s="107">
        <v>2512</v>
      </c>
      <c r="G16" s="107">
        <v>1919</v>
      </c>
      <c r="H16" s="107">
        <v>1847</v>
      </c>
      <c r="I16" s="107">
        <v>2167</v>
      </c>
      <c r="J16" s="107">
        <v>2538</v>
      </c>
      <c r="K16" s="107">
        <v>2798</v>
      </c>
      <c r="L16" s="107">
        <v>3184</v>
      </c>
      <c r="M16" s="107">
        <v>2854</v>
      </c>
      <c r="N16" s="107">
        <f t="shared" si="2"/>
        <v>43280</v>
      </c>
    </row>
    <row r="17" spans="1:14">
      <c r="A17" s="25" t="s">
        <v>102</v>
      </c>
      <c r="B17" s="107">
        <v>39840</v>
      </c>
      <c r="C17" s="107">
        <v>40680</v>
      </c>
      <c r="D17" s="107">
        <v>24600</v>
      </c>
      <c r="E17" s="107">
        <v>15600</v>
      </c>
      <c r="F17" s="107">
        <v>127800</v>
      </c>
      <c r="G17" s="107">
        <v>5760</v>
      </c>
      <c r="H17" s="107">
        <v>6600</v>
      </c>
      <c r="I17" s="107">
        <v>5400</v>
      </c>
      <c r="J17" s="107">
        <v>9000</v>
      </c>
      <c r="K17" s="107">
        <v>16440</v>
      </c>
      <c r="L17" s="107">
        <v>33360</v>
      </c>
      <c r="M17" s="107">
        <v>31560</v>
      </c>
      <c r="N17" s="107">
        <f t="shared" si="2"/>
        <v>356640</v>
      </c>
    </row>
    <row r="18" spans="1:14">
      <c r="A18" s="25" t="s">
        <v>13</v>
      </c>
      <c r="B18" s="107">
        <v>37440</v>
      </c>
      <c r="C18" s="107">
        <v>21600</v>
      </c>
      <c r="D18" s="107">
        <v>28950</v>
      </c>
      <c r="E18" s="107">
        <v>25070</v>
      </c>
      <c r="F18" s="107">
        <v>24550</v>
      </c>
      <c r="G18" s="107">
        <v>27076</v>
      </c>
      <c r="H18" s="107">
        <v>45883</v>
      </c>
      <c r="I18" s="107" t="s">
        <v>42</v>
      </c>
      <c r="J18" s="107" t="s">
        <v>42</v>
      </c>
      <c r="K18" s="107" t="s">
        <v>42</v>
      </c>
      <c r="L18" s="107" t="s">
        <v>42</v>
      </c>
      <c r="M18" s="107" t="s">
        <v>42</v>
      </c>
      <c r="N18" s="107">
        <f t="shared" si="2"/>
        <v>210569</v>
      </c>
    </row>
    <row r="19" spans="1:14">
      <c r="A19" s="25" t="s">
        <v>13</v>
      </c>
      <c r="B19" s="107">
        <v>17280</v>
      </c>
      <c r="C19" s="107">
        <v>8640</v>
      </c>
      <c r="D19" s="107">
        <v>8640</v>
      </c>
      <c r="E19" s="107">
        <v>5760</v>
      </c>
      <c r="F19" s="107">
        <v>3840</v>
      </c>
      <c r="G19" s="107">
        <v>4800</v>
      </c>
      <c r="H19" s="107">
        <v>10560</v>
      </c>
      <c r="I19" s="107" t="s">
        <v>42</v>
      </c>
      <c r="J19" s="107" t="s">
        <v>42</v>
      </c>
      <c r="K19" s="107" t="s">
        <v>42</v>
      </c>
      <c r="L19" s="107" t="s">
        <v>42</v>
      </c>
      <c r="M19" s="107" t="s">
        <v>42</v>
      </c>
      <c r="N19" s="107">
        <f t="shared" si="2"/>
        <v>59520</v>
      </c>
    </row>
    <row r="20" spans="1:14">
      <c r="A20" s="25" t="s">
        <v>14</v>
      </c>
      <c r="B20" s="107">
        <v>270</v>
      </c>
      <c r="C20" s="107">
        <v>299</v>
      </c>
      <c r="D20" s="107">
        <v>396</v>
      </c>
      <c r="E20" s="107">
        <v>342</v>
      </c>
      <c r="F20" s="107">
        <v>307</v>
      </c>
      <c r="G20" s="107">
        <v>309</v>
      </c>
      <c r="H20" s="107">
        <v>284</v>
      </c>
      <c r="I20" s="107">
        <v>285</v>
      </c>
      <c r="J20" s="107">
        <v>307</v>
      </c>
      <c r="K20" s="107">
        <v>165</v>
      </c>
      <c r="L20" s="107">
        <v>172</v>
      </c>
      <c r="M20" s="107">
        <v>233</v>
      </c>
      <c r="N20" s="107">
        <f t="shared" si="2"/>
        <v>3369</v>
      </c>
    </row>
    <row r="21" spans="1:14" ht="15.75" thickBot="1">
      <c r="A21" s="144" t="s">
        <v>103</v>
      </c>
      <c r="B21" s="156">
        <v>168000</v>
      </c>
      <c r="C21" s="156">
        <v>172800</v>
      </c>
      <c r="D21" s="156">
        <v>10400</v>
      </c>
      <c r="E21" s="156">
        <v>67200</v>
      </c>
      <c r="F21" s="156">
        <v>38400</v>
      </c>
      <c r="G21" s="156">
        <v>32000</v>
      </c>
      <c r="H21" s="156">
        <v>30400</v>
      </c>
      <c r="I21" s="156">
        <v>38400</v>
      </c>
      <c r="J21" s="156">
        <v>52800</v>
      </c>
      <c r="K21" s="156">
        <v>79200</v>
      </c>
      <c r="L21" s="156">
        <v>130400</v>
      </c>
      <c r="M21" s="156">
        <v>122400</v>
      </c>
      <c r="N21" s="156">
        <f t="shared" si="2"/>
        <v>942400</v>
      </c>
    </row>
    <row r="22" spans="1:14" ht="16.5" thickTop="1" thickBot="1">
      <c r="A22" s="66" t="s">
        <v>46</v>
      </c>
      <c r="B22" s="157">
        <f>SUM(B12:B21)</f>
        <v>289307</v>
      </c>
      <c r="C22" s="157">
        <f t="shared" ref="C22:M22" si="3">SUM(C12:C21)</f>
        <v>271229</v>
      </c>
      <c r="D22" s="157">
        <f t="shared" si="3"/>
        <v>92266</v>
      </c>
      <c r="E22" s="157">
        <f t="shared" si="3"/>
        <v>125644</v>
      </c>
      <c r="F22" s="157">
        <f t="shared" si="3"/>
        <v>201701</v>
      </c>
      <c r="G22" s="157">
        <f t="shared" si="3"/>
        <v>75768</v>
      </c>
      <c r="H22" s="157">
        <f t="shared" si="3"/>
        <v>99757</v>
      </c>
      <c r="I22" s="157">
        <f t="shared" si="3"/>
        <v>50906</v>
      </c>
      <c r="J22" s="157">
        <f t="shared" si="3"/>
        <v>70337</v>
      </c>
      <c r="K22" s="157">
        <f t="shared" si="3"/>
        <v>107321</v>
      </c>
      <c r="L22" s="157">
        <f t="shared" si="3"/>
        <v>182021.5</v>
      </c>
      <c r="M22" s="157">
        <f t="shared" si="3"/>
        <v>171580</v>
      </c>
      <c r="N22" s="160">
        <f>SUM(N12:N21)</f>
        <v>1737837.5</v>
      </c>
    </row>
    <row r="23" spans="1:14">
      <c r="A23" s="19"/>
      <c r="B23" s="158"/>
      <c r="C23" s="158"/>
      <c r="D23" s="158"/>
      <c r="E23" s="158"/>
      <c r="F23" s="158"/>
      <c r="G23" s="158"/>
      <c r="H23" s="158"/>
      <c r="I23" s="158"/>
      <c r="J23" s="158"/>
      <c r="K23" s="158"/>
      <c r="L23" s="158"/>
      <c r="M23" s="158"/>
      <c r="N23" s="158"/>
    </row>
    <row r="24" spans="1:14" ht="15.75" thickBot="1">
      <c r="A24" s="21" t="s">
        <v>32</v>
      </c>
      <c r="B24" s="159"/>
      <c r="C24" s="159"/>
      <c r="D24" s="159"/>
      <c r="E24" s="159"/>
      <c r="F24" s="159"/>
      <c r="G24" s="159"/>
      <c r="H24" s="159"/>
      <c r="I24" s="159"/>
      <c r="J24" s="159"/>
      <c r="K24" s="159"/>
      <c r="L24" s="159"/>
      <c r="M24" s="159"/>
      <c r="N24" s="159"/>
    </row>
    <row r="25" spans="1:14">
      <c r="A25" s="24" t="s">
        <v>16</v>
      </c>
      <c r="B25" s="161">
        <f>B9+B22</f>
        <v>1169621</v>
      </c>
      <c r="C25" s="161">
        <f t="shared" ref="C25:N25" si="4">C9+C22</f>
        <v>1180898</v>
      </c>
      <c r="D25" s="161">
        <f t="shared" si="4"/>
        <v>1309648</v>
      </c>
      <c r="E25" s="161">
        <f t="shared" si="4"/>
        <v>934738</v>
      </c>
      <c r="F25" s="161">
        <f t="shared" si="4"/>
        <v>1072249</v>
      </c>
      <c r="G25" s="161">
        <f t="shared" si="4"/>
        <v>1117013</v>
      </c>
      <c r="H25" s="161">
        <f t="shared" si="4"/>
        <v>1397672</v>
      </c>
      <c r="I25" s="161">
        <f t="shared" si="4"/>
        <v>1373808</v>
      </c>
      <c r="J25" s="161">
        <f t="shared" si="4"/>
        <v>1415594</v>
      </c>
      <c r="K25" s="161">
        <f t="shared" si="4"/>
        <v>1111327</v>
      </c>
      <c r="L25" s="161">
        <f t="shared" si="4"/>
        <v>1554080.5</v>
      </c>
      <c r="M25" s="161">
        <f t="shared" si="4"/>
        <v>1000766</v>
      </c>
      <c r="N25" s="161">
        <f t="shared" si="4"/>
        <v>14637414.5</v>
      </c>
    </row>
    <row r="26" spans="1:14">
      <c r="A26" s="26" t="s">
        <v>17</v>
      </c>
      <c r="B26" s="162">
        <v>1192701</v>
      </c>
      <c r="C26" s="162">
        <v>517768</v>
      </c>
      <c r="D26" s="162">
        <v>224515</v>
      </c>
      <c r="E26" s="162">
        <v>799783</v>
      </c>
      <c r="F26" s="162">
        <v>623606</v>
      </c>
      <c r="G26" s="162">
        <v>791844</v>
      </c>
      <c r="H26" s="162">
        <v>303916</v>
      </c>
      <c r="I26" s="162">
        <v>481514</v>
      </c>
      <c r="J26" s="162">
        <v>890881</v>
      </c>
      <c r="K26" s="162">
        <v>404206</v>
      </c>
      <c r="L26" s="162">
        <v>195790</v>
      </c>
      <c r="M26" s="162">
        <v>1305621</v>
      </c>
      <c r="N26" s="163">
        <v>7732145</v>
      </c>
    </row>
    <row r="27" spans="1:14" ht="15.75" thickBot="1">
      <c r="A27" s="20" t="s">
        <v>18</v>
      </c>
      <c r="B27" s="164">
        <f>B25+B26</f>
        <v>2362322</v>
      </c>
      <c r="C27" s="164">
        <f t="shared" ref="C27:N27" si="5">C25+C26</f>
        <v>1698666</v>
      </c>
      <c r="D27" s="164">
        <f t="shared" si="5"/>
        <v>1534163</v>
      </c>
      <c r="E27" s="164">
        <f t="shared" si="5"/>
        <v>1734521</v>
      </c>
      <c r="F27" s="164">
        <f t="shared" si="5"/>
        <v>1695855</v>
      </c>
      <c r="G27" s="164">
        <f t="shared" si="5"/>
        <v>1908857</v>
      </c>
      <c r="H27" s="164">
        <f t="shared" si="5"/>
        <v>1701588</v>
      </c>
      <c r="I27" s="164">
        <f t="shared" si="5"/>
        <v>1855322</v>
      </c>
      <c r="J27" s="164">
        <f t="shared" si="5"/>
        <v>2306475</v>
      </c>
      <c r="K27" s="164">
        <f t="shared" si="5"/>
        <v>1515533</v>
      </c>
      <c r="L27" s="164">
        <f t="shared" si="5"/>
        <v>1749870.5</v>
      </c>
      <c r="M27" s="164">
        <f t="shared" si="5"/>
        <v>2306387</v>
      </c>
      <c r="N27" s="164">
        <f t="shared" si="5"/>
        <v>22369559.5</v>
      </c>
    </row>
  </sheetData>
  <pageMargins left="0.7" right="0.7" top="0.75" bottom="0.75" header="0.3" footer="0.3"/>
  <pageSetup scale="7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N44"/>
  <sheetViews>
    <sheetView showGridLines="0" workbookViewId="0">
      <selection activeCell="I17" sqref="H17:I17"/>
    </sheetView>
  </sheetViews>
  <sheetFormatPr defaultColWidth="8.85546875" defaultRowHeight="15"/>
  <cols>
    <col min="1" max="1" width="32.42578125" customWidth="1"/>
    <col min="2" max="13" width="9.28515625" bestFit="1" customWidth="1"/>
    <col min="14" max="14" width="10.7109375" bestFit="1" customWidth="1"/>
  </cols>
  <sheetData>
    <row r="1" spans="1:14" ht="17.25" thickBot="1">
      <c r="A1" s="82" t="s">
        <v>0</v>
      </c>
      <c r="B1" s="90">
        <v>43101</v>
      </c>
      <c r="C1" s="90">
        <v>43132</v>
      </c>
      <c r="D1" s="90">
        <v>43160</v>
      </c>
      <c r="E1" s="90">
        <v>43191</v>
      </c>
      <c r="F1" s="90">
        <v>43221</v>
      </c>
      <c r="G1" s="90">
        <v>43252</v>
      </c>
      <c r="H1" s="90">
        <v>43282</v>
      </c>
      <c r="I1" s="90">
        <v>43313</v>
      </c>
      <c r="J1" s="90">
        <v>43344</v>
      </c>
      <c r="K1" s="90">
        <v>43374</v>
      </c>
      <c r="L1" s="90">
        <v>43405</v>
      </c>
      <c r="M1" s="90">
        <v>43435</v>
      </c>
      <c r="N1" s="9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
      <c r="A4" s="100" t="s">
        <v>91</v>
      </c>
      <c r="B4" s="184">
        <v>158780</v>
      </c>
      <c r="C4" s="184">
        <v>114462</v>
      </c>
      <c r="D4" s="184">
        <v>133682</v>
      </c>
      <c r="E4" s="184">
        <v>74865</v>
      </c>
      <c r="F4" s="184">
        <v>16932</v>
      </c>
      <c r="G4" s="184">
        <v>9684</v>
      </c>
      <c r="H4" s="184">
        <v>9218</v>
      </c>
      <c r="I4" s="184">
        <v>10241</v>
      </c>
      <c r="J4" s="184">
        <v>20443</v>
      </c>
      <c r="K4" s="184">
        <v>83078</v>
      </c>
      <c r="L4" s="184">
        <v>132895</v>
      </c>
      <c r="M4" s="105">
        <v>137918</v>
      </c>
      <c r="N4" s="176">
        <f>SUM(B4:M4)</f>
        <v>902198</v>
      </c>
    </row>
    <row r="5" spans="1:14">
      <c r="A5" s="101" t="s">
        <v>21</v>
      </c>
      <c r="B5" s="178">
        <v>26047</v>
      </c>
      <c r="C5" s="178">
        <v>20765</v>
      </c>
      <c r="D5" s="178">
        <v>23366</v>
      </c>
      <c r="E5" s="178">
        <v>11963</v>
      </c>
      <c r="F5" s="178">
        <v>1427</v>
      </c>
      <c r="G5" s="178">
        <v>976</v>
      </c>
      <c r="H5" s="178">
        <v>571</v>
      </c>
      <c r="I5" s="178">
        <v>1284</v>
      </c>
      <c r="J5" s="178">
        <v>4187</v>
      </c>
      <c r="K5" s="178">
        <v>20377</v>
      </c>
      <c r="L5" s="178">
        <v>39375</v>
      </c>
      <c r="M5" s="107">
        <v>42291</v>
      </c>
      <c r="N5" s="177">
        <f t="shared" ref="N5:N29" si="0">SUM(B5:M5)</f>
        <v>192629</v>
      </c>
    </row>
    <row r="6" spans="1:14">
      <c r="A6" s="83" t="s">
        <v>92</v>
      </c>
      <c r="B6" s="109">
        <v>1015</v>
      </c>
      <c r="C6" s="109">
        <v>1367</v>
      </c>
      <c r="D6" s="109">
        <v>682</v>
      </c>
      <c r="E6" s="109">
        <v>1258</v>
      </c>
      <c r="F6" s="109">
        <v>474</v>
      </c>
      <c r="G6" s="110">
        <v>277</v>
      </c>
      <c r="H6" s="109">
        <v>661</v>
      </c>
      <c r="I6" s="109">
        <v>162</v>
      </c>
      <c r="J6" s="109">
        <v>1011</v>
      </c>
      <c r="K6" s="178">
        <v>1812</v>
      </c>
      <c r="L6" s="178">
        <v>147</v>
      </c>
      <c r="M6" s="107">
        <v>1216</v>
      </c>
      <c r="N6" s="177">
        <f t="shared" si="0"/>
        <v>10082</v>
      </c>
    </row>
    <row r="7" spans="1:14">
      <c r="A7" s="83" t="s">
        <v>2</v>
      </c>
      <c r="B7" s="109">
        <v>14954</v>
      </c>
      <c r="C7" s="109">
        <v>12227</v>
      </c>
      <c r="D7" s="109">
        <v>9377</v>
      </c>
      <c r="E7" s="109">
        <v>11819</v>
      </c>
      <c r="F7" s="109">
        <v>4170</v>
      </c>
      <c r="G7" s="109">
        <v>1308</v>
      </c>
      <c r="H7" s="109">
        <v>197</v>
      </c>
      <c r="I7" s="109">
        <v>785</v>
      </c>
      <c r="J7" s="109">
        <v>3</v>
      </c>
      <c r="K7" s="178">
        <v>1879</v>
      </c>
      <c r="L7" s="178">
        <v>4392</v>
      </c>
      <c r="M7" s="107">
        <v>10702</v>
      </c>
      <c r="N7" s="177">
        <f t="shared" si="0"/>
        <v>71813</v>
      </c>
    </row>
    <row r="8" spans="1:14">
      <c r="A8" s="83" t="s">
        <v>69</v>
      </c>
      <c r="B8" s="109">
        <v>12154</v>
      </c>
      <c r="C8" s="109">
        <v>9515</v>
      </c>
      <c r="D8" s="109">
        <v>8739</v>
      </c>
      <c r="E8" s="109">
        <v>10013</v>
      </c>
      <c r="F8" s="109">
        <v>2777</v>
      </c>
      <c r="G8" s="109">
        <v>1314</v>
      </c>
      <c r="H8" s="109">
        <v>605</v>
      </c>
      <c r="I8" s="109">
        <v>813</v>
      </c>
      <c r="J8" s="109">
        <v>383</v>
      </c>
      <c r="K8" s="178">
        <v>1958</v>
      </c>
      <c r="L8" s="178">
        <v>5678</v>
      </c>
      <c r="M8" s="107">
        <v>7864</v>
      </c>
      <c r="N8" s="177">
        <f t="shared" si="0"/>
        <v>61813</v>
      </c>
    </row>
    <row r="9" spans="1:14">
      <c r="A9" s="83" t="s">
        <v>70</v>
      </c>
      <c r="B9" s="109">
        <v>1846</v>
      </c>
      <c r="C9" s="109">
        <v>2339</v>
      </c>
      <c r="D9" s="109">
        <v>1049</v>
      </c>
      <c r="E9" s="109">
        <v>2026</v>
      </c>
      <c r="F9" s="109">
        <v>1496</v>
      </c>
      <c r="G9" s="109">
        <v>479</v>
      </c>
      <c r="H9" s="109">
        <v>485</v>
      </c>
      <c r="I9" s="109">
        <v>708</v>
      </c>
      <c r="J9" s="109">
        <v>452</v>
      </c>
      <c r="K9" s="178">
        <v>1523</v>
      </c>
      <c r="L9" s="178">
        <f>349+419</f>
        <v>768</v>
      </c>
      <c r="M9" s="107">
        <v>1272</v>
      </c>
      <c r="N9" s="177">
        <f t="shared" si="0"/>
        <v>14443</v>
      </c>
    </row>
    <row r="10" spans="1:14">
      <c r="A10" s="83" t="s">
        <v>71</v>
      </c>
      <c r="B10" s="109">
        <v>1953</v>
      </c>
      <c r="C10" s="109">
        <v>2382</v>
      </c>
      <c r="D10" s="109">
        <v>2264</v>
      </c>
      <c r="E10" s="109">
        <v>2161</v>
      </c>
      <c r="F10" s="109">
        <v>1693</v>
      </c>
      <c r="G10" s="109">
        <v>572</v>
      </c>
      <c r="H10" s="109">
        <v>153</v>
      </c>
      <c r="I10" s="109">
        <v>840</v>
      </c>
      <c r="J10" s="109">
        <v>810</v>
      </c>
      <c r="K10" s="178">
        <v>1753</v>
      </c>
      <c r="L10" s="178">
        <f>329+150</f>
        <v>479</v>
      </c>
      <c r="M10" s="107">
        <v>1187</v>
      </c>
      <c r="N10" s="177">
        <f t="shared" si="0"/>
        <v>16247</v>
      </c>
    </row>
    <row r="11" spans="1:14">
      <c r="A11" s="83" t="s">
        <v>72</v>
      </c>
      <c r="B11" s="109">
        <v>5098</v>
      </c>
      <c r="C11" s="109">
        <v>4125</v>
      </c>
      <c r="D11" s="109">
        <v>2999</v>
      </c>
      <c r="E11" s="109">
        <v>4322</v>
      </c>
      <c r="F11" s="109">
        <v>2979</v>
      </c>
      <c r="G11" s="109">
        <v>1277</v>
      </c>
      <c r="H11" s="109">
        <v>973</v>
      </c>
      <c r="I11" s="109">
        <v>1167</v>
      </c>
      <c r="J11" s="109">
        <v>3385</v>
      </c>
      <c r="K11" s="178">
        <v>3435</v>
      </c>
      <c r="L11" s="178">
        <v>4068</v>
      </c>
      <c r="M11" s="107">
        <v>3612</v>
      </c>
      <c r="N11" s="177">
        <f t="shared" si="0"/>
        <v>37440</v>
      </c>
    </row>
    <row r="12" spans="1:14">
      <c r="A12" s="83" t="s">
        <v>73</v>
      </c>
      <c r="B12" s="109">
        <v>4072</v>
      </c>
      <c r="C12" s="109">
        <v>3424</v>
      </c>
      <c r="D12" s="109">
        <v>2384</v>
      </c>
      <c r="E12" s="109">
        <v>3331</v>
      </c>
      <c r="F12" s="109">
        <v>1148</v>
      </c>
      <c r="G12" s="109">
        <v>75</v>
      </c>
      <c r="H12" s="109">
        <v>57</v>
      </c>
      <c r="I12" s="109">
        <v>67</v>
      </c>
      <c r="J12" s="109">
        <v>7</v>
      </c>
      <c r="K12" s="178">
        <v>425</v>
      </c>
      <c r="L12" s="178">
        <v>2233</v>
      </c>
      <c r="M12" s="107">
        <v>3104</v>
      </c>
      <c r="N12" s="177">
        <f t="shared" si="0"/>
        <v>20327</v>
      </c>
    </row>
    <row r="13" spans="1:14">
      <c r="A13" s="83" t="s">
        <v>74</v>
      </c>
      <c r="B13" s="109">
        <v>16614</v>
      </c>
      <c r="C13" s="109">
        <v>12416</v>
      </c>
      <c r="D13" s="109">
        <v>10199</v>
      </c>
      <c r="E13" s="109">
        <v>8319</v>
      </c>
      <c r="F13" s="109">
        <v>9735</v>
      </c>
      <c r="G13" s="109">
        <v>2678</v>
      </c>
      <c r="H13" s="109">
        <v>2518</v>
      </c>
      <c r="I13" s="109">
        <v>2538</v>
      </c>
      <c r="J13" s="109">
        <v>1950</v>
      </c>
      <c r="K13" s="178">
        <v>2650</v>
      </c>
      <c r="L13" s="178">
        <v>10719</v>
      </c>
      <c r="M13" s="107">
        <v>14157</v>
      </c>
      <c r="N13" s="177">
        <f t="shared" si="0"/>
        <v>94493</v>
      </c>
    </row>
    <row r="14" spans="1:14">
      <c r="A14" s="83" t="s">
        <v>75</v>
      </c>
      <c r="B14" s="109">
        <v>13612</v>
      </c>
      <c r="C14" s="109">
        <v>10435</v>
      </c>
      <c r="D14" s="109">
        <v>8395</v>
      </c>
      <c r="E14" s="109">
        <v>9822</v>
      </c>
      <c r="F14" s="109">
        <v>4167</v>
      </c>
      <c r="G14" s="110">
        <v>391</v>
      </c>
      <c r="H14" s="109">
        <v>234</v>
      </c>
      <c r="I14" s="109">
        <v>272</v>
      </c>
      <c r="J14" s="109">
        <v>385</v>
      </c>
      <c r="K14" s="178">
        <v>1480</v>
      </c>
      <c r="L14" s="178">
        <v>8016</v>
      </c>
      <c r="M14" s="107">
        <v>9217</v>
      </c>
      <c r="N14" s="177">
        <f t="shared" si="0"/>
        <v>66426</v>
      </c>
    </row>
    <row r="15" spans="1:14">
      <c r="A15" s="83" t="s">
        <v>22</v>
      </c>
      <c r="B15" s="109">
        <v>1221</v>
      </c>
      <c r="C15" s="109">
        <v>904</v>
      </c>
      <c r="D15" s="109">
        <v>696</v>
      </c>
      <c r="E15" s="109">
        <v>900</v>
      </c>
      <c r="F15" s="109">
        <v>1938</v>
      </c>
      <c r="G15" s="109">
        <v>112</v>
      </c>
      <c r="H15" s="109">
        <v>68</v>
      </c>
      <c r="I15" s="109">
        <v>64</v>
      </c>
      <c r="J15" s="109">
        <v>0</v>
      </c>
      <c r="K15" s="178">
        <v>0</v>
      </c>
      <c r="L15" s="178">
        <v>0</v>
      </c>
      <c r="M15" s="107">
        <v>0</v>
      </c>
      <c r="N15" s="177">
        <f t="shared" si="0"/>
        <v>5903</v>
      </c>
    </row>
    <row r="16" spans="1:14">
      <c r="A16" s="83" t="s">
        <v>76</v>
      </c>
      <c r="B16" s="109">
        <v>16065</v>
      </c>
      <c r="C16" s="109">
        <v>16822</v>
      </c>
      <c r="D16" s="109">
        <v>7039</v>
      </c>
      <c r="E16" s="109">
        <v>15511</v>
      </c>
      <c r="F16" s="109">
        <v>3264</v>
      </c>
      <c r="G16" s="110">
        <v>883</v>
      </c>
      <c r="H16" s="109">
        <v>104</v>
      </c>
      <c r="I16" s="109">
        <v>0</v>
      </c>
      <c r="J16" s="109">
        <v>762</v>
      </c>
      <c r="K16" s="178">
        <v>2844</v>
      </c>
      <c r="L16" s="178">
        <v>7504</v>
      </c>
      <c r="M16" s="107">
        <v>9712</v>
      </c>
      <c r="N16" s="177">
        <f t="shared" si="0"/>
        <v>80510</v>
      </c>
    </row>
    <row r="17" spans="1:14">
      <c r="A17" s="83" t="s">
        <v>77</v>
      </c>
      <c r="B17" s="109">
        <v>400</v>
      </c>
      <c r="C17" s="109">
        <v>34</v>
      </c>
      <c r="D17" s="109">
        <v>34</v>
      </c>
      <c r="E17" s="109">
        <v>571</v>
      </c>
      <c r="F17" s="109">
        <v>152</v>
      </c>
      <c r="G17" s="109">
        <v>143</v>
      </c>
      <c r="H17" s="109">
        <v>56</v>
      </c>
      <c r="I17" s="109">
        <v>84</v>
      </c>
      <c r="J17" s="109">
        <v>605</v>
      </c>
      <c r="K17" s="178">
        <v>152</v>
      </c>
      <c r="L17" s="178">
        <v>191</v>
      </c>
      <c r="M17" s="107">
        <v>239</v>
      </c>
      <c r="N17" s="177">
        <f t="shared" si="0"/>
        <v>2661</v>
      </c>
    </row>
    <row r="18" spans="1:14">
      <c r="A18" s="83" t="s">
        <v>78</v>
      </c>
      <c r="B18" s="109">
        <v>2468</v>
      </c>
      <c r="C18" s="109">
        <v>1747</v>
      </c>
      <c r="D18" s="109">
        <v>1249</v>
      </c>
      <c r="E18" s="109">
        <v>1511</v>
      </c>
      <c r="F18" s="109">
        <v>492</v>
      </c>
      <c r="G18" s="109">
        <v>205</v>
      </c>
      <c r="H18" s="109">
        <v>77</v>
      </c>
      <c r="I18" s="109">
        <v>133</v>
      </c>
      <c r="J18" s="109">
        <v>99</v>
      </c>
      <c r="K18" s="178">
        <v>294</v>
      </c>
      <c r="L18" s="178">
        <v>1013</v>
      </c>
      <c r="M18" s="107">
        <v>1551</v>
      </c>
      <c r="N18" s="177">
        <f t="shared" si="0"/>
        <v>10839</v>
      </c>
    </row>
    <row r="19" spans="1:14">
      <c r="A19" s="25" t="s">
        <v>79</v>
      </c>
      <c r="B19" s="109">
        <v>14714</v>
      </c>
      <c r="C19" s="109">
        <v>9936</v>
      </c>
      <c r="D19" s="109">
        <v>13329</v>
      </c>
      <c r="E19" s="109">
        <v>7871</v>
      </c>
      <c r="F19" s="109">
        <v>1154</v>
      </c>
      <c r="G19" s="109">
        <v>199</v>
      </c>
      <c r="H19" s="109">
        <v>206</v>
      </c>
      <c r="I19" s="109">
        <v>365</v>
      </c>
      <c r="J19" s="109">
        <v>2699</v>
      </c>
      <c r="K19" s="178">
        <v>8938</v>
      </c>
      <c r="L19" s="178">
        <v>13463</v>
      </c>
      <c r="M19" s="107">
        <v>13165</v>
      </c>
      <c r="N19" s="177">
        <f t="shared" si="0"/>
        <v>86039</v>
      </c>
    </row>
    <row r="20" spans="1:14">
      <c r="A20" s="25" t="s">
        <v>80</v>
      </c>
      <c r="B20" s="109">
        <v>1617</v>
      </c>
      <c r="C20" s="109">
        <v>1582</v>
      </c>
      <c r="D20" s="109">
        <v>948</v>
      </c>
      <c r="E20" s="109">
        <v>1042</v>
      </c>
      <c r="F20" s="110">
        <v>94</v>
      </c>
      <c r="G20" s="109">
        <v>27</v>
      </c>
      <c r="H20" s="109">
        <v>44</v>
      </c>
      <c r="I20" s="109">
        <v>0</v>
      </c>
      <c r="J20" s="109">
        <v>123</v>
      </c>
      <c r="K20" s="178">
        <v>783</v>
      </c>
      <c r="L20" s="178">
        <v>1586</v>
      </c>
      <c r="M20" s="107">
        <v>975</v>
      </c>
      <c r="N20" s="177">
        <f t="shared" si="0"/>
        <v>8821</v>
      </c>
    </row>
    <row r="21" spans="1:14">
      <c r="A21" s="25" t="s">
        <v>81</v>
      </c>
      <c r="B21" s="109">
        <v>34489</v>
      </c>
      <c r="C21" s="109">
        <v>25212</v>
      </c>
      <c r="D21" s="109">
        <v>29806</v>
      </c>
      <c r="E21" s="109">
        <v>17668</v>
      </c>
      <c r="F21" s="109">
        <v>2395</v>
      </c>
      <c r="G21" s="109">
        <v>1594</v>
      </c>
      <c r="H21" s="109">
        <v>1787</v>
      </c>
      <c r="I21" s="109">
        <v>2655</v>
      </c>
      <c r="J21" s="109">
        <v>3646</v>
      </c>
      <c r="K21" s="178">
        <v>23424</v>
      </c>
      <c r="L21" s="178">
        <v>34167</v>
      </c>
      <c r="M21" s="107">
        <v>33697</v>
      </c>
      <c r="N21" s="177">
        <f t="shared" si="0"/>
        <v>210540</v>
      </c>
    </row>
    <row r="22" spans="1:14">
      <c r="A22" s="25" t="s">
        <v>23</v>
      </c>
      <c r="B22" s="109">
        <v>57778</v>
      </c>
      <c r="C22" s="109">
        <v>38801</v>
      </c>
      <c r="D22" s="109">
        <v>36866</v>
      </c>
      <c r="E22" s="109">
        <v>31419</v>
      </c>
      <c r="F22" s="109">
        <v>5946</v>
      </c>
      <c r="G22" s="109">
        <v>4898</v>
      </c>
      <c r="H22" s="109">
        <v>4601</v>
      </c>
      <c r="I22" s="109">
        <v>5603</v>
      </c>
      <c r="J22" s="109">
        <v>9994</v>
      </c>
      <c r="K22" s="178">
        <v>20379</v>
      </c>
      <c r="L22" s="178">
        <v>38713</v>
      </c>
      <c r="M22" s="107">
        <v>37214</v>
      </c>
      <c r="N22" s="177">
        <f t="shared" si="0"/>
        <v>292212</v>
      </c>
    </row>
    <row r="23" spans="1:14">
      <c r="A23" s="25" t="s">
        <v>82</v>
      </c>
      <c r="B23" s="109">
        <v>84821</v>
      </c>
      <c r="C23" s="109">
        <v>59017</v>
      </c>
      <c r="D23" s="109">
        <v>60366</v>
      </c>
      <c r="E23" s="109">
        <v>37431</v>
      </c>
      <c r="F23" s="109">
        <v>21945</v>
      </c>
      <c r="G23" s="109">
        <v>15171</v>
      </c>
      <c r="H23" s="109">
        <v>16301</v>
      </c>
      <c r="I23" s="109">
        <v>17261</v>
      </c>
      <c r="J23" s="109">
        <v>21193</v>
      </c>
      <c r="K23" s="178">
        <v>38971</v>
      </c>
      <c r="L23" s="178">
        <v>57224</v>
      </c>
      <c r="M23" s="107">
        <v>54864</v>
      </c>
      <c r="N23" s="177">
        <f t="shared" si="0"/>
        <v>484565</v>
      </c>
    </row>
    <row r="24" spans="1:14">
      <c r="A24" s="104" t="s">
        <v>24</v>
      </c>
      <c r="B24" s="109">
        <v>31656</v>
      </c>
      <c r="C24" s="109">
        <v>24439</v>
      </c>
      <c r="D24" s="109">
        <v>24592</v>
      </c>
      <c r="E24" s="109">
        <v>17960</v>
      </c>
      <c r="F24" s="109">
        <v>15507</v>
      </c>
      <c r="G24" s="109">
        <v>9072</v>
      </c>
      <c r="H24" s="109">
        <v>8572</v>
      </c>
      <c r="I24" s="109">
        <v>8546</v>
      </c>
      <c r="J24" s="109">
        <v>11156</v>
      </c>
      <c r="K24" s="178">
        <v>14816</v>
      </c>
      <c r="L24" s="178">
        <v>19204</v>
      </c>
      <c r="M24" s="107">
        <v>20209</v>
      </c>
      <c r="N24" s="177">
        <f t="shared" si="0"/>
        <v>205729</v>
      </c>
    </row>
    <row r="25" spans="1:14">
      <c r="A25" s="104" t="s">
        <v>25</v>
      </c>
      <c r="B25" s="109">
        <v>14816</v>
      </c>
      <c r="C25" s="109">
        <v>10042</v>
      </c>
      <c r="D25" s="109">
        <v>9158</v>
      </c>
      <c r="E25" s="109">
        <v>6705</v>
      </c>
      <c r="F25" s="109">
        <v>2147</v>
      </c>
      <c r="G25" s="109">
        <v>1567</v>
      </c>
      <c r="H25" s="109">
        <v>1096</v>
      </c>
      <c r="I25" s="109">
        <v>1142</v>
      </c>
      <c r="J25" s="109">
        <v>3504</v>
      </c>
      <c r="K25" s="178">
        <v>5144</v>
      </c>
      <c r="L25" s="178">
        <v>7515</v>
      </c>
      <c r="M25" s="107">
        <v>7314</v>
      </c>
      <c r="N25" s="177">
        <f t="shared" si="0"/>
        <v>70150</v>
      </c>
    </row>
    <row r="26" spans="1:14">
      <c r="A26" s="104" t="s">
        <v>83</v>
      </c>
      <c r="B26" s="109">
        <v>3656</v>
      </c>
      <c r="C26" s="109">
        <v>7486</v>
      </c>
      <c r="D26" s="109">
        <v>3443</v>
      </c>
      <c r="E26" s="109">
        <v>2539</v>
      </c>
      <c r="F26" s="109">
        <v>414</v>
      </c>
      <c r="G26" s="109">
        <v>279</v>
      </c>
      <c r="H26" s="109">
        <v>28</v>
      </c>
      <c r="I26" s="109">
        <v>13</v>
      </c>
      <c r="J26" s="109">
        <v>227</v>
      </c>
      <c r="K26" s="178">
        <v>1418</v>
      </c>
      <c r="L26" s="178">
        <v>2327</v>
      </c>
      <c r="M26" s="107">
        <v>0</v>
      </c>
      <c r="N26" s="177">
        <f t="shared" si="0"/>
        <v>21830</v>
      </c>
    </row>
    <row r="27" spans="1:14">
      <c r="A27" s="104" t="s">
        <v>84</v>
      </c>
      <c r="B27" s="109">
        <v>139</v>
      </c>
      <c r="C27" s="109">
        <v>8756</v>
      </c>
      <c r="D27" s="109">
        <v>2022</v>
      </c>
      <c r="E27" s="109">
        <v>2242</v>
      </c>
      <c r="F27" s="109">
        <v>1301</v>
      </c>
      <c r="G27" s="109">
        <v>444</v>
      </c>
      <c r="H27" s="109">
        <v>35</v>
      </c>
      <c r="I27" s="109">
        <v>34</v>
      </c>
      <c r="J27" s="109">
        <v>8</v>
      </c>
      <c r="K27" s="178">
        <v>1</v>
      </c>
      <c r="L27" s="107">
        <v>1</v>
      </c>
      <c r="M27" s="178">
        <v>0</v>
      </c>
      <c r="N27" s="177">
        <f t="shared" si="0"/>
        <v>14983</v>
      </c>
    </row>
    <row r="28" spans="1:14" ht="15.75" thickBot="1">
      <c r="A28" s="104" t="s">
        <v>84</v>
      </c>
      <c r="B28" s="223">
        <v>1428</v>
      </c>
      <c r="C28" s="223">
        <v>325</v>
      </c>
      <c r="D28" s="223">
        <v>878</v>
      </c>
      <c r="E28" s="223">
        <v>234</v>
      </c>
      <c r="F28" s="223">
        <v>1220</v>
      </c>
      <c r="G28" s="223">
        <v>375</v>
      </c>
      <c r="H28" s="223">
        <v>28</v>
      </c>
      <c r="I28" s="223">
        <v>1</v>
      </c>
      <c r="J28" s="223">
        <v>6</v>
      </c>
      <c r="K28" s="179">
        <v>19</v>
      </c>
      <c r="L28" s="156">
        <v>0</v>
      </c>
      <c r="M28" s="179">
        <v>0</v>
      </c>
      <c r="N28" s="180">
        <f t="shared" si="0"/>
        <v>4514</v>
      </c>
    </row>
    <row r="29" spans="1:14" ht="16.5" thickTop="1" thickBot="1">
      <c r="A29" s="84" t="s">
        <v>45</v>
      </c>
      <c r="B29" s="218">
        <f>SUM(B4:B28)</f>
        <v>521413</v>
      </c>
      <c r="C29" s="218">
        <f t="shared" ref="C29:M29" si="1">SUM(C4:C28)</f>
        <v>398560</v>
      </c>
      <c r="D29" s="218">
        <f t="shared" si="1"/>
        <v>393562</v>
      </c>
      <c r="E29" s="218">
        <f t="shared" si="1"/>
        <v>283503</v>
      </c>
      <c r="F29" s="218">
        <f t="shared" si="1"/>
        <v>104967</v>
      </c>
      <c r="G29" s="218">
        <f t="shared" si="1"/>
        <v>54000</v>
      </c>
      <c r="H29" s="218">
        <f t="shared" si="1"/>
        <v>48675</v>
      </c>
      <c r="I29" s="218">
        <f t="shared" si="1"/>
        <v>54778</v>
      </c>
      <c r="J29" s="218">
        <f t="shared" si="1"/>
        <v>87038</v>
      </c>
      <c r="K29" s="218">
        <f t="shared" si="1"/>
        <v>237553</v>
      </c>
      <c r="L29" s="218">
        <f t="shared" si="1"/>
        <v>391678</v>
      </c>
      <c r="M29" s="218">
        <f t="shared" si="1"/>
        <v>411480</v>
      </c>
      <c r="N29" s="219">
        <f t="shared" si="0"/>
        <v>2987207</v>
      </c>
    </row>
    <row r="30" spans="1:14">
      <c r="A30" s="6"/>
      <c r="B30" s="182"/>
      <c r="C30" s="182"/>
      <c r="D30" s="182"/>
      <c r="E30" s="182"/>
      <c r="F30" s="182"/>
      <c r="G30" s="182"/>
      <c r="H30" s="182"/>
      <c r="I30" s="182"/>
      <c r="J30" s="182"/>
      <c r="K30" s="182"/>
      <c r="L30" s="182"/>
      <c r="M30" s="182"/>
      <c r="N30" s="182"/>
    </row>
    <row r="31" spans="1:14" ht="15.75" thickBot="1">
      <c r="A31" s="6" t="s">
        <v>15</v>
      </c>
      <c r="B31" s="182"/>
      <c r="C31" s="182"/>
      <c r="D31" s="182"/>
      <c r="E31" s="182"/>
      <c r="F31" s="182"/>
      <c r="G31" s="182"/>
      <c r="H31" s="182"/>
      <c r="I31" s="182"/>
      <c r="J31" s="182"/>
      <c r="K31" s="182"/>
      <c r="L31" s="182"/>
      <c r="M31" s="182"/>
      <c r="N31" s="182"/>
    </row>
    <row r="32" spans="1:14">
      <c r="A32" s="5" t="s">
        <v>85</v>
      </c>
      <c r="B32" s="222">
        <v>1854</v>
      </c>
      <c r="C32" s="222">
        <v>2091</v>
      </c>
      <c r="D32" s="222">
        <v>1529</v>
      </c>
      <c r="E32" s="222">
        <v>1733</v>
      </c>
      <c r="F32" s="222">
        <v>452</v>
      </c>
      <c r="G32" s="236">
        <v>0</v>
      </c>
      <c r="H32" s="222">
        <v>0</v>
      </c>
      <c r="I32" s="222">
        <v>1</v>
      </c>
      <c r="J32" s="222">
        <v>0</v>
      </c>
      <c r="K32" s="184">
        <v>385</v>
      </c>
      <c r="L32" s="184">
        <v>1159</v>
      </c>
      <c r="M32" s="105">
        <v>1769</v>
      </c>
      <c r="N32" s="176">
        <f>SUM(B32:M32)</f>
        <v>10973</v>
      </c>
    </row>
    <row r="33" spans="1:14">
      <c r="A33" s="3" t="s">
        <v>86</v>
      </c>
      <c r="B33" s="107">
        <v>900</v>
      </c>
      <c r="C33" s="109">
        <v>650</v>
      </c>
      <c r="D33" s="109">
        <v>639</v>
      </c>
      <c r="E33" s="109">
        <v>243</v>
      </c>
      <c r="F33" s="110">
        <v>47</v>
      </c>
      <c r="G33" s="107">
        <v>5</v>
      </c>
      <c r="H33" s="107">
        <v>13</v>
      </c>
      <c r="I33" s="109">
        <v>5</v>
      </c>
      <c r="J33" s="109">
        <v>201</v>
      </c>
      <c r="K33" s="178">
        <v>375</v>
      </c>
      <c r="L33" s="178">
        <v>813</v>
      </c>
      <c r="M33" s="107">
        <v>656</v>
      </c>
      <c r="N33" s="177">
        <f t="shared" ref="N33:N38" si="2">SUM(B33:M33)</f>
        <v>4547</v>
      </c>
    </row>
    <row r="34" spans="1:14">
      <c r="A34" s="3" t="s">
        <v>87</v>
      </c>
      <c r="B34" s="109">
        <v>3674</v>
      </c>
      <c r="C34" s="109">
        <v>2349</v>
      </c>
      <c r="D34" s="109">
        <v>1798</v>
      </c>
      <c r="E34" s="109">
        <v>1668</v>
      </c>
      <c r="F34" s="109">
        <v>608</v>
      </c>
      <c r="G34" s="110">
        <v>84</v>
      </c>
      <c r="H34" s="109">
        <v>13</v>
      </c>
      <c r="I34" s="109">
        <v>0</v>
      </c>
      <c r="J34" s="109">
        <v>0</v>
      </c>
      <c r="K34" s="178">
        <v>363</v>
      </c>
      <c r="L34" s="178">
        <v>1826</v>
      </c>
      <c r="M34" s="107">
        <v>2268</v>
      </c>
      <c r="N34" s="177">
        <f t="shared" si="2"/>
        <v>14651</v>
      </c>
    </row>
    <row r="35" spans="1:14">
      <c r="A35" s="3" t="s">
        <v>88</v>
      </c>
      <c r="B35" s="109">
        <v>3049</v>
      </c>
      <c r="C35" s="109">
        <v>1810</v>
      </c>
      <c r="D35" s="109">
        <v>1310</v>
      </c>
      <c r="E35" s="109">
        <v>1319</v>
      </c>
      <c r="F35" s="109">
        <v>276</v>
      </c>
      <c r="G35" s="110">
        <v>0</v>
      </c>
      <c r="H35" s="109">
        <v>0</v>
      </c>
      <c r="I35" s="109">
        <v>1</v>
      </c>
      <c r="J35" s="109">
        <v>4</v>
      </c>
      <c r="K35" s="178">
        <v>188</v>
      </c>
      <c r="L35" s="178">
        <v>1299</v>
      </c>
      <c r="M35" s="107">
        <v>1523</v>
      </c>
      <c r="N35" s="177">
        <f t="shared" si="2"/>
        <v>10779</v>
      </c>
    </row>
    <row r="36" spans="1:14">
      <c r="A36" s="3" t="s">
        <v>89</v>
      </c>
      <c r="B36" s="109">
        <v>1016</v>
      </c>
      <c r="C36" s="109">
        <v>786</v>
      </c>
      <c r="D36" s="109">
        <v>775</v>
      </c>
      <c r="E36" s="109">
        <v>515</v>
      </c>
      <c r="F36" s="109">
        <v>246</v>
      </c>
      <c r="G36" s="110">
        <v>0</v>
      </c>
      <c r="H36" s="109">
        <v>0</v>
      </c>
      <c r="I36" s="109">
        <v>0</v>
      </c>
      <c r="J36" s="109">
        <v>0</v>
      </c>
      <c r="K36" s="178">
        <v>130</v>
      </c>
      <c r="L36" s="178">
        <v>573</v>
      </c>
      <c r="M36" s="107">
        <v>699</v>
      </c>
      <c r="N36" s="177">
        <f t="shared" si="2"/>
        <v>4740</v>
      </c>
    </row>
    <row r="37" spans="1:14" ht="15.75" thickBot="1">
      <c r="A37" s="3" t="s">
        <v>90</v>
      </c>
      <c r="B37" s="223">
        <v>272</v>
      </c>
      <c r="C37" s="223">
        <v>260</v>
      </c>
      <c r="D37" s="223">
        <v>318</v>
      </c>
      <c r="E37" s="223">
        <v>233</v>
      </c>
      <c r="F37" s="223">
        <v>258</v>
      </c>
      <c r="G37" s="237">
        <v>4</v>
      </c>
      <c r="H37" s="223">
        <v>1</v>
      </c>
      <c r="I37" s="223">
        <v>249</v>
      </c>
      <c r="J37" s="223">
        <v>150</v>
      </c>
      <c r="K37" s="179">
        <v>234</v>
      </c>
      <c r="L37" s="179">
        <v>332</v>
      </c>
      <c r="M37" s="156">
        <v>371</v>
      </c>
      <c r="N37" s="180">
        <f t="shared" si="2"/>
        <v>2682</v>
      </c>
    </row>
    <row r="38" spans="1:14" ht="16.5" thickTop="1" thickBot="1">
      <c r="A38" s="84" t="s">
        <v>46</v>
      </c>
      <c r="B38" s="218">
        <f>SUM(B32:B37)</f>
        <v>10765</v>
      </c>
      <c r="C38" s="218">
        <f t="shared" ref="C38:J38" si="3">SUM(C32:C37)</f>
        <v>7946</v>
      </c>
      <c r="D38" s="218">
        <f t="shared" si="3"/>
        <v>6369</v>
      </c>
      <c r="E38" s="218">
        <f t="shared" si="3"/>
        <v>5711</v>
      </c>
      <c r="F38" s="218">
        <f t="shared" si="3"/>
        <v>1887</v>
      </c>
      <c r="G38" s="218">
        <f>SUM(G32:G37)</f>
        <v>93</v>
      </c>
      <c r="H38" s="218">
        <f>SUM(H32:H37)</f>
        <v>27</v>
      </c>
      <c r="I38" s="218">
        <f t="shared" si="3"/>
        <v>256</v>
      </c>
      <c r="J38" s="218">
        <f t="shared" si="3"/>
        <v>355</v>
      </c>
      <c r="K38" s="218">
        <f>SUM(K32:K37)</f>
        <v>1675</v>
      </c>
      <c r="L38" s="218">
        <f>SUM(L32:L37)</f>
        <v>6002</v>
      </c>
      <c r="M38" s="218">
        <f>SUM(M32:M37)</f>
        <v>7286</v>
      </c>
      <c r="N38" s="219">
        <f t="shared" si="2"/>
        <v>48372</v>
      </c>
    </row>
    <row r="39" spans="1:14" ht="15.75" thickBot="1">
      <c r="A39" s="17"/>
      <c r="B39" s="159"/>
      <c r="C39" s="159"/>
      <c r="D39" s="159"/>
      <c r="E39" s="159"/>
      <c r="F39" s="159"/>
      <c r="G39" s="159"/>
      <c r="H39" s="159"/>
      <c r="I39" s="159"/>
      <c r="J39" s="159"/>
      <c r="K39" s="159"/>
      <c r="L39" s="159"/>
      <c r="M39" s="159"/>
      <c r="N39" s="159"/>
    </row>
    <row r="40" spans="1:14" ht="15.75" thickBot="1">
      <c r="A40" s="93" t="s">
        <v>20</v>
      </c>
      <c r="B40" s="227">
        <v>16752</v>
      </c>
      <c r="C40" s="227">
        <v>10708</v>
      </c>
      <c r="D40" s="227">
        <v>11514</v>
      </c>
      <c r="E40" s="227">
        <v>8148</v>
      </c>
      <c r="F40" s="227">
        <v>1999</v>
      </c>
      <c r="G40" s="227">
        <v>350</v>
      </c>
      <c r="H40" s="227">
        <v>211</v>
      </c>
      <c r="I40" s="227">
        <v>225</v>
      </c>
      <c r="J40" s="227">
        <v>1184</v>
      </c>
      <c r="K40" s="227">
        <v>4695</v>
      </c>
      <c r="L40" s="227">
        <v>11986</v>
      </c>
      <c r="M40" s="227">
        <v>15557</v>
      </c>
      <c r="N40" s="228">
        <f>SUM(B40:M40)</f>
        <v>83329</v>
      </c>
    </row>
    <row r="41" spans="1:14" ht="15.75" thickBot="1">
      <c r="A41" s="17"/>
      <c r="B41" s="159"/>
      <c r="C41" s="159"/>
      <c r="D41" s="159"/>
      <c r="E41" s="159"/>
      <c r="F41" s="159"/>
      <c r="G41" s="159"/>
      <c r="H41" s="159"/>
      <c r="I41" s="159"/>
      <c r="J41" s="159"/>
      <c r="K41" s="159"/>
      <c r="L41" s="159"/>
      <c r="M41" s="159"/>
      <c r="N41" s="159"/>
    </row>
    <row r="42" spans="1:14" ht="15.75" thickBot="1">
      <c r="A42" s="85" t="s">
        <v>61</v>
      </c>
      <c r="B42" s="224">
        <f>B29+B38+B40</f>
        <v>548930</v>
      </c>
      <c r="C42" s="224">
        <f t="shared" ref="C42:N42" si="4">C29+C38+C40</f>
        <v>417214</v>
      </c>
      <c r="D42" s="224">
        <f t="shared" si="4"/>
        <v>411445</v>
      </c>
      <c r="E42" s="224">
        <f t="shared" si="4"/>
        <v>297362</v>
      </c>
      <c r="F42" s="224">
        <f t="shared" si="4"/>
        <v>108853</v>
      </c>
      <c r="G42" s="224">
        <f t="shared" si="4"/>
        <v>54443</v>
      </c>
      <c r="H42" s="224">
        <f t="shared" si="4"/>
        <v>48913</v>
      </c>
      <c r="I42" s="224">
        <f t="shared" si="4"/>
        <v>55259</v>
      </c>
      <c r="J42" s="224">
        <f t="shared" si="4"/>
        <v>88577</v>
      </c>
      <c r="K42" s="224">
        <f t="shared" si="4"/>
        <v>243923</v>
      </c>
      <c r="L42" s="224">
        <f t="shared" si="4"/>
        <v>409666</v>
      </c>
      <c r="M42" s="224">
        <f t="shared" si="4"/>
        <v>434323</v>
      </c>
      <c r="N42" s="224">
        <f t="shared" si="4"/>
        <v>3118908</v>
      </c>
    </row>
    <row r="43" spans="1:14">
      <c r="A43" s="17" t="s">
        <v>62</v>
      </c>
      <c r="B43" s="17"/>
      <c r="C43" s="17"/>
      <c r="D43" s="17"/>
      <c r="E43" s="17"/>
      <c r="F43" s="17"/>
      <c r="G43" s="17"/>
      <c r="H43" s="17"/>
      <c r="I43" s="17"/>
      <c r="J43" s="17"/>
      <c r="K43" s="17"/>
      <c r="L43" s="17"/>
      <c r="M43" s="17"/>
      <c r="N43" s="17"/>
    </row>
    <row r="44" spans="1:14">
      <c r="A44" s="17"/>
      <c r="B44" s="17"/>
      <c r="C44" s="17"/>
      <c r="D44" s="17"/>
      <c r="E44" s="17"/>
      <c r="F44" s="17"/>
      <c r="G44" s="17"/>
      <c r="H44" s="17"/>
      <c r="I44" s="17"/>
      <c r="J44" s="17"/>
      <c r="K44" s="17"/>
      <c r="L44" s="17"/>
      <c r="M44" s="17"/>
      <c r="N44" s="17"/>
    </row>
  </sheetData>
  <pageMargins left="0.7" right="0.7" top="0.75" bottom="0.75" header="0.3" footer="0.3"/>
  <pageSetup scale="7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43"/>
  <sheetViews>
    <sheetView topLeftCell="A2" workbookViewId="0">
      <selection activeCell="A15" sqref="A15:XFD15"/>
    </sheetView>
  </sheetViews>
  <sheetFormatPr defaultColWidth="8.85546875" defaultRowHeight="15"/>
  <cols>
    <col min="1" max="1" width="26.85546875" customWidth="1"/>
    <col min="14" max="14" width="13.42578125" customWidth="1"/>
  </cols>
  <sheetData>
    <row r="1" spans="1:14" ht="17.25" thickBot="1">
      <c r="A1" s="82" t="s">
        <v>0</v>
      </c>
      <c r="B1" s="90">
        <v>43466</v>
      </c>
      <c r="C1" s="90">
        <v>43497</v>
      </c>
      <c r="D1" s="90">
        <v>43525</v>
      </c>
      <c r="E1" s="90">
        <v>43556</v>
      </c>
      <c r="F1" s="90">
        <v>43586</v>
      </c>
      <c r="G1" s="90">
        <v>43617</v>
      </c>
      <c r="H1" s="90">
        <v>43647</v>
      </c>
      <c r="I1" s="90">
        <v>43678</v>
      </c>
      <c r="J1" s="90">
        <v>43709</v>
      </c>
      <c r="K1" s="90">
        <v>43739</v>
      </c>
      <c r="L1" s="90">
        <v>43770</v>
      </c>
      <c r="M1" s="90">
        <v>43800</v>
      </c>
      <c r="N1" s="9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
      <c r="A4" s="100" t="s">
        <v>91</v>
      </c>
      <c r="B4" s="184">
        <v>164031</v>
      </c>
      <c r="C4" s="184">
        <v>151640</v>
      </c>
      <c r="D4" s="184">
        <v>102775</v>
      </c>
      <c r="E4" s="184">
        <v>71710</v>
      </c>
      <c r="F4" s="184">
        <v>43378</v>
      </c>
      <c r="G4" s="184">
        <v>28646</v>
      </c>
      <c r="H4" s="184">
        <v>24693</v>
      </c>
      <c r="I4" s="184">
        <v>24250</v>
      </c>
      <c r="J4" s="184">
        <v>27216</v>
      </c>
      <c r="K4" s="184">
        <v>88047</v>
      </c>
      <c r="L4" s="184">
        <v>122274</v>
      </c>
      <c r="M4" s="105">
        <f>131006</f>
        <v>131006</v>
      </c>
      <c r="N4" s="176">
        <f>SUM(B4:M4)</f>
        <v>979666</v>
      </c>
    </row>
    <row r="5" spans="1:14">
      <c r="A5" s="101" t="s">
        <v>21</v>
      </c>
      <c r="B5" s="178">
        <v>49479</v>
      </c>
      <c r="C5" s="178">
        <v>45214</v>
      </c>
      <c r="D5">
        <v>35605</v>
      </c>
      <c r="E5" s="178">
        <v>26534</v>
      </c>
      <c r="F5" s="178">
        <v>3098</v>
      </c>
      <c r="G5" s="178">
        <v>847</v>
      </c>
      <c r="H5" s="178">
        <v>614</v>
      </c>
      <c r="I5" s="178">
        <v>1692</v>
      </c>
      <c r="J5" s="178">
        <v>7218</v>
      </c>
      <c r="K5" s="178">
        <v>30070</v>
      </c>
      <c r="L5" s="178">
        <v>37865</v>
      </c>
      <c r="M5" s="107">
        <v>36879</v>
      </c>
      <c r="N5" s="177">
        <f t="shared" ref="N5:N28" si="0">SUM(B5:M5)</f>
        <v>275115</v>
      </c>
    </row>
    <row r="6" spans="1:14">
      <c r="A6" s="83" t="s">
        <v>92</v>
      </c>
      <c r="B6" s="109">
        <v>571</v>
      </c>
      <c r="C6" s="109">
        <v>1280</v>
      </c>
      <c r="D6" s="178">
        <v>657</v>
      </c>
      <c r="E6" s="109">
        <v>1212</v>
      </c>
      <c r="F6" s="109">
        <v>378</v>
      </c>
      <c r="G6" s="110">
        <v>575</v>
      </c>
      <c r="H6" s="109">
        <v>295</v>
      </c>
      <c r="I6" s="109">
        <v>594</v>
      </c>
      <c r="J6" s="109">
        <v>752</v>
      </c>
      <c r="K6" s="178">
        <v>1036</v>
      </c>
      <c r="L6" s="178">
        <v>379</v>
      </c>
      <c r="M6" s="107">
        <v>1293</v>
      </c>
      <c r="N6" s="177">
        <f t="shared" si="0"/>
        <v>9022</v>
      </c>
    </row>
    <row r="7" spans="1:14">
      <c r="A7" s="83" t="s">
        <v>2</v>
      </c>
      <c r="B7" s="109">
        <v>9777</v>
      </c>
      <c r="C7" s="109">
        <v>13893</v>
      </c>
      <c r="D7" s="109">
        <v>8969</v>
      </c>
      <c r="E7" s="109">
        <f>2850+5261</f>
        <v>8111</v>
      </c>
      <c r="F7" s="109">
        <v>4566</v>
      </c>
      <c r="G7" s="109">
        <v>1559</v>
      </c>
      <c r="H7" s="109">
        <v>59</v>
      </c>
      <c r="I7" s="109">
        <v>59</v>
      </c>
      <c r="J7" s="109">
        <v>118</v>
      </c>
      <c r="K7" s="178">
        <v>3469</v>
      </c>
      <c r="L7" s="178">
        <v>1457</v>
      </c>
      <c r="M7" s="107">
        <v>11352</v>
      </c>
      <c r="N7" s="177">
        <f t="shared" si="0"/>
        <v>63389</v>
      </c>
    </row>
    <row r="8" spans="1:14">
      <c r="A8" s="83" t="s">
        <v>69</v>
      </c>
      <c r="B8" s="109">
        <v>8967</v>
      </c>
      <c r="C8" s="109">
        <v>9602</v>
      </c>
      <c r="D8" s="109">
        <v>9740</v>
      </c>
      <c r="E8" s="109">
        <v>6941</v>
      </c>
      <c r="F8" s="109">
        <v>5388</v>
      </c>
      <c r="G8" s="109">
        <v>633</v>
      </c>
      <c r="H8" s="109">
        <v>965</v>
      </c>
      <c r="I8" s="109">
        <v>652</v>
      </c>
      <c r="J8" s="109">
        <v>1069</v>
      </c>
      <c r="K8" s="178">
        <v>3857</v>
      </c>
      <c r="L8" s="178">
        <v>5129</v>
      </c>
      <c r="M8" s="107">
        <v>8348</v>
      </c>
      <c r="N8" s="177">
        <f t="shared" si="0"/>
        <v>61291</v>
      </c>
    </row>
    <row r="9" spans="1:14">
      <c r="A9" s="83" t="s">
        <v>70</v>
      </c>
      <c r="B9" s="109">
        <v>1275</v>
      </c>
      <c r="C9" s="109">
        <v>1806</v>
      </c>
      <c r="D9" s="109">
        <v>1632</v>
      </c>
      <c r="E9" s="109">
        <v>1449</v>
      </c>
      <c r="F9" s="109">
        <v>321</v>
      </c>
      <c r="G9" s="109">
        <v>326</v>
      </c>
      <c r="H9" s="109">
        <v>515</v>
      </c>
      <c r="I9" s="109">
        <v>582</v>
      </c>
      <c r="J9" s="109">
        <v>1311</v>
      </c>
      <c r="K9" s="178">
        <v>1224</v>
      </c>
      <c r="L9" s="178">
        <v>2535</v>
      </c>
      <c r="M9" s="107">
        <v>1663</v>
      </c>
      <c r="N9" s="177">
        <f t="shared" si="0"/>
        <v>14639</v>
      </c>
    </row>
    <row r="10" spans="1:14">
      <c r="A10" s="83" t="s">
        <v>71</v>
      </c>
      <c r="B10" s="109">
        <v>1193</v>
      </c>
      <c r="C10" s="109">
        <v>1643</v>
      </c>
      <c r="D10" s="109">
        <v>1488</v>
      </c>
      <c r="E10" s="109">
        <v>1238</v>
      </c>
      <c r="F10" s="109">
        <v>284</v>
      </c>
      <c r="G10" s="109">
        <v>287</v>
      </c>
      <c r="H10" s="109">
        <v>445</v>
      </c>
      <c r="I10" s="109">
        <v>456</v>
      </c>
      <c r="J10" s="109">
        <v>1145</v>
      </c>
      <c r="K10" s="178">
        <v>1069</v>
      </c>
      <c r="L10" s="178">
        <v>2214</v>
      </c>
      <c r="M10" s="107">
        <v>1370</v>
      </c>
      <c r="N10" s="177">
        <f t="shared" si="0"/>
        <v>12832</v>
      </c>
    </row>
    <row r="11" spans="1:14">
      <c r="A11" s="83" t="s">
        <v>72</v>
      </c>
      <c r="B11" s="109">
        <v>2836</v>
      </c>
      <c r="C11" s="109">
        <v>3854</v>
      </c>
      <c r="D11" s="109">
        <v>5604</v>
      </c>
      <c r="E11" s="109">
        <v>3579</v>
      </c>
      <c r="F11" s="109">
        <v>3337</v>
      </c>
      <c r="G11" s="109">
        <v>1300</v>
      </c>
      <c r="H11" s="109">
        <v>1300</v>
      </c>
      <c r="I11" s="109">
        <v>1340</v>
      </c>
      <c r="J11" s="109">
        <v>3340</v>
      </c>
      <c r="K11" s="178">
        <v>2999</v>
      </c>
      <c r="L11" s="178">
        <v>5382</v>
      </c>
      <c r="M11" s="107">
        <v>3852</v>
      </c>
      <c r="N11" s="177">
        <f t="shared" si="0"/>
        <v>38723</v>
      </c>
    </row>
    <row r="12" spans="1:14">
      <c r="A12" s="83" t="s">
        <v>73</v>
      </c>
      <c r="B12" s="109">
        <v>2795</v>
      </c>
      <c r="C12" s="109">
        <v>3901</v>
      </c>
      <c r="D12" s="109">
        <v>2445</v>
      </c>
      <c r="E12" s="109">
        <v>2665</v>
      </c>
      <c r="F12" s="109">
        <v>1010</v>
      </c>
      <c r="G12" s="109">
        <v>73</v>
      </c>
      <c r="H12" s="109">
        <v>40</v>
      </c>
      <c r="I12" s="109">
        <v>75</v>
      </c>
      <c r="J12" s="109">
        <v>327</v>
      </c>
      <c r="K12" s="178">
        <v>1282</v>
      </c>
      <c r="L12" s="178">
        <v>1641</v>
      </c>
      <c r="M12" s="107">
        <v>3294</v>
      </c>
      <c r="N12" s="177">
        <f t="shared" si="0"/>
        <v>19548</v>
      </c>
    </row>
    <row r="13" spans="1:14">
      <c r="A13" s="83" t="s">
        <v>74</v>
      </c>
      <c r="B13" s="109">
        <v>13513</v>
      </c>
      <c r="C13" s="109">
        <v>17767</v>
      </c>
      <c r="D13" s="109">
        <v>12137</v>
      </c>
      <c r="E13" s="109">
        <v>12171</v>
      </c>
      <c r="F13" s="109">
        <v>2076</v>
      </c>
      <c r="G13" s="109">
        <v>2400</v>
      </c>
      <c r="H13" s="109">
        <v>3733</v>
      </c>
      <c r="I13" s="109">
        <v>2476</v>
      </c>
      <c r="J13" s="109">
        <v>2059</v>
      </c>
      <c r="K13" s="178">
        <v>5531</v>
      </c>
      <c r="L13" s="178">
        <v>5385</v>
      </c>
      <c r="M13" s="107">
        <v>15021</v>
      </c>
      <c r="N13" s="177">
        <f t="shared" si="0"/>
        <v>94269</v>
      </c>
    </row>
    <row r="14" spans="1:14">
      <c r="A14" s="83" t="s">
        <v>75</v>
      </c>
      <c r="B14" s="109">
        <v>10413</v>
      </c>
      <c r="C14" s="109">
        <v>11808</v>
      </c>
      <c r="D14" s="109">
        <v>10582</v>
      </c>
      <c r="E14" s="109">
        <v>7760</v>
      </c>
      <c r="F14" s="109">
        <v>4915</v>
      </c>
      <c r="G14" s="110">
        <v>326</v>
      </c>
      <c r="H14" s="109">
        <v>231</v>
      </c>
      <c r="I14" s="109">
        <v>338</v>
      </c>
      <c r="J14" s="109">
        <v>354</v>
      </c>
      <c r="K14" s="178">
        <v>3323</v>
      </c>
      <c r="L14" s="178">
        <v>3925</v>
      </c>
      <c r="M14" s="107">
        <v>9777</v>
      </c>
      <c r="N14" s="177">
        <f t="shared" si="0"/>
        <v>63752</v>
      </c>
    </row>
    <row r="15" spans="1:14">
      <c r="A15" s="83" t="s">
        <v>76</v>
      </c>
      <c r="B15" s="109">
        <v>17339</v>
      </c>
      <c r="C15" s="109">
        <v>12506</v>
      </c>
      <c r="D15" s="109">
        <v>19008</v>
      </c>
      <c r="E15" s="109">
        <v>8134</v>
      </c>
      <c r="F15" s="109">
        <v>11637</v>
      </c>
      <c r="G15" s="110">
        <v>402</v>
      </c>
      <c r="H15" s="109">
        <v>3323</v>
      </c>
      <c r="I15" s="109">
        <v>414</v>
      </c>
      <c r="J15" s="109">
        <v>647</v>
      </c>
      <c r="K15" s="178">
        <v>3362</v>
      </c>
      <c r="L15" s="178">
        <v>5146</v>
      </c>
      <c r="M15" s="107">
        <v>10300</v>
      </c>
      <c r="N15" s="177">
        <f t="shared" si="0"/>
        <v>92218</v>
      </c>
    </row>
    <row r="16" spans="1:14">
      <c r="A16" s="83" t="s">
        <v>77</v>
      </c>
      <c r="B16" s="109">
        <v>23965</v>
      </c>
      <c r="C16" s="109">
        <v>12629</v>
      </c>
      <c r="D16" s="109">
        <v>9631</v>
      </c>
      <c r="E16" s="109">
        <v>7169</v>
      </c>
      <c r="F16" s="109">
        <v>4285</v>
      </c>
      <c r="G16" s="109">
        <v>1424</v>
      </c>
      <c r="H16" s="109">
        <v>1069</v>
      </c>
      <c r="I16" s="109">
        <v>141</v>
      </c>
      <c r="J16" s="109">
        <v>1677</v>
      </c>
      <c r="K16" s="178">
        <v>3030</v>
      </c>
      <c r="L16" s="178">
        <v>4569</v>
      </c>
      <c r="M16" s="107">
        <v>8556</v>
      </c>
      <c r="N16" s="177">
        <f t="shared" si="0"/>
        <v>78145</v>
      </c>
    </row>
    <row r="17" spans="1:14">
      <c r="A17" s="83" t="s">
        <v>78</v>
      </c>
      <c r="B17" s="109">
        <v>1880</v>
      </c>
      <c r="C17" s="109">
        <v>2073</v>
      </c>
      <c r="D17" s="109">
        <v>1750</v>
      </c>
      <c r="E17" s="109">
        <v>1248</v>
      </c>
      <c r="F17" s="109">
        <v>897</v>
      </c>
      <c r="G17" s="109">
        <v>148</v>
      </c>
      <c r="H17" s="109">
        <v>314</v>
      </c>
      <c r="I17" s="109">
        <v>154</v>
      </c>
      <c r="J17" s="109">
        <v>213</v>
      </c>
      <c r="K17" s="178">
        <v>374</v>
      </c>
      <c r="L17" s="178">
        <v>1036</v>
      </c>
      <c r="M17" s="107">
        <v>1645</v>
      </c>
      <c r="N17" s="177">
        <f t="shared" si="0"/>
        <v>11732</v>
      </c>
    </row>
    <row r="18" spans="1:14">
      <c r="A18" s="25" t="s">
        <v>79</v>
      </c>
      <c r="B18" s="109">
        <v>16469</v>
      </c>
      <c r="C18" s="109">
        <v>15357</v>
      </c>
      <c r="D18" s="109">
        <v>12537</v>
      </c>
      <c r="E18" s="109">
        <v>8342</v>
      </c>
      <c r="F18" s="109">
        <v>335</v>
      </c>
      <c r="G18" s="109">
        <v>197</v>
      </c>
      <c r="H18" s="109">
        <v>218</v>
      </c>
      <c r="I18" s="109">
        <v>456</v>
      </c>
      <c r="J18" s="109">
        <v>456</v>
      </c>
      <c r="K18" s="178">
        <v>2632</v>
      </c>
      <c r="L18" s="178">
        <v>12243</v>
      </c>
      <c r="M18" s="107">
        <v>25310</v>
      </c>
      <c r="N18" s="177">
        <f t="shared" si="0"/>
        <v>94552</v>
      </c>
    </row>
    <row r="19" spans="1:14">
      <c r="A19" s="25" t="s">
        <v>80</v>
      </c>
      <c r="B19" s="109">
        <v>2244</v>
      </c>
      <c r="C19" s="109">
        <v>3007</v>
      </c>
      <c r="D19" s="109">
        <v>1192</v>
      </c>
      <c r="E19" s="109">
        <v>881</v>
      </c>
      <c r="F19" s="110">
        <v>42</v>
      </c>
      <c r="G19" s="109">
        <v>105</v>
      </c>
      <c r="H19" s="109">
        <v>43</v>
      </c>
      <c r="I19" s="109">
        <v>2</v>
      </c>
      <c r="J19" s="109">
        <v>114</v>
      </c>
      <c r="K19" s="178">
        <v>590</v>
      </c>
      <c r="L19" s="178">
        <v>1679</v>
      </c>
      <c r="M19" s="107">
        <v>2291</v>
      </c>
      <c r="N19" s="177">
        <f t="shared" si="0"/>
        <v>12190</v>
      </c>
    </row>
    <row r="20" spans="1:14">
      <c r="A20" s="25" t="s">
        <v>81</v>
      </c>
      <c r="B20" s="109">
        <v>47598</v>
      </c>
      <c r="C20" s="109">
        <v>39580</v>
      </c>
      <c r="D20" s="109">
        <v>27859</v>
      </c>
      <c r="E20" s="109">
        <v>19464</v>
      </c>
      <c r="F20" s="109">
        <v>3098</v>
      </c>
      <c r="G20" s="109">
        <v>1622</v>
      </c>
      <c r="H20" s="109">
        <v>2161</v>
      </c>
      <c r="I20" s="109">
        <v>2208</v>
      </c>
      <c r="J20" s="109">
        <v>3947</v>
      </c>
      <c r="K20" s="178">
        <v>22801</v>
      </c>
      <c r="L20" s="178">
        <v>30725</v>
      </c>
      <c r="M20" s="107">
        <f>37827/29*21</f>
        <v>27391.96551724138</v>
      </c>
      <c r="N20" s="177">
        <f t="shared" si="0"/>
        <v>228454.96551724139</v>
      </c>
    </row>
    <row r="21" spans="1:14">
      <c r="A21" s="25" t="s">
        <v>23</v>
      </c>
      <c r="B21" s="109">
        <v>52121</v>
      </c>
      <c r="C21" s="109">
        <v>44084</v>
      </c>
      <c r="D21" s="109">
        <v>36648</v>
      </c>
      <c r="E21" s="109">
        <v>23186</v>
      </c>
      <c r="F21" s="109">
        <v>12980</v>
      </c>
      <c r="G21" s="109">
        <v>6470</v>
      </c>
      <c r="H21" s="109">
        <v>7212</v>
      </c>
      <c r="I21" s="109">
        <v>8229</v>
      </c>
      <c r="J21" s="109">
        <v>11583</v>
      </c>
      <c r="K21" s="178">
        <v>21025</v>
      </c>
      <c r="L21" s="178">
        <v>35926</v>
      </c>
      <c r="M21" s="107">
        <v>38625</v>
      </c>
      <c r="N21" s="177">
        <f t="shared" si="0"/>
        <v>298089</v>
      </c>
    </row>
    <row r="22" spans="1:14">
      <c r="A22" s="25" t="s">
        <v>82</v>
      </c>
      <c r="B22" s="109">
        <v>67418</v>
      </c>
      <c r="C22" s="109">
        <v>64038</v>
      </c>
      <c r="D22" s="109">
        <v>43742</v>
      </c>
      <c r="E22" s="109">
        <v>34488</v>
      </c>
      <c r="F22" s="109">
        <v>27586</v>
      </c>
      <c r="G22" s="109">
        <v>16689</v>
      </c>
      <c r="H22" s="109">
        <v>15411</v>
      </c>
      <c r="I22" s="109">
        <v>16014</v>
      </c>
      <c r="J22" s="109">
        <v>18371</v>
      </c>
      <c r="K22" s="178">
        <v>35686</v>
      </c>
      <c r="L22" s="178">
        <v>50093</v>
      </c>
      <c r="M22" s="107">
        <v>52757</v>
      </c>
      <c r="N22" s="177">
        <f t="shared" si="0"/>
        <v>442293</v>
      </c>
    </row>
    <row r="23" spans="1:14">
      <c r="A23" s="104" t="s">
        <v>24</v>
      </c>
      <c r="B23" s="109">
        <v>23243</v>
      </c>
      <c r="C23" s="109">
        <v>25545</v>
      </c>
      <c r="D23" s="109">
        <v>18849</v>
      </c>
      <c r="E23" s="109">
        <v>17027</v>
      </c>
      <c r="F23" s="109">
        <v>16116</v>
      </c>
      <c r="G23" s="109">
        <v>7761</v>
      </c>
      <c r="H23" s="109">
        <v>9750</v>
      </c>
      <c r="I23" s="109">
        <v>9412</v>
      </c>
      <c r="J23" s="109">
        <v>9856</v>
      </c>
      <c r="K23" s="178">
        <v>13158</v>
      </c>
      <c r="L23" s="178">
        <v>15756</v>
      </c>
      <c r="M23" s="107">
        <f>17202</f>
        <v>17202</v>
      </c>
      <c r="N23" s="177">
        <f t="shared" si="0"/>
        <v>183675</v>
      </c>
    </row>
    <row r="24" spans="1:14">
      <c r="A24" s="104" t="s">
        <v>25</v>
      </c>
      <c r="B24" s="109">
        <v>10793</v>
      </c>
      <c r="C24" s="109">
        <v>7263</v>
      </c>
      <c r="D24" s="109">
        <v>7612</v>
      </c>
      <c r="E24" s="109">
        <v>6040</v>
      </c>
      <c r="F24" s="109">
        <v>3918</v>
      </c>
      <c r="G24" s="109">
        <v>1513</v>
      </c>
      <c r="H24" s="109">
        <v>793</v>
      </c>
      <c r="I24" s="109">
        <v>1558</v>
      </c>
      <c r="J24" s="109">
        <v>2688</v>
      </c>
      <c r="K24" s="178">
        <v>5396</v>
      </c>
      <c r="L24" s="178">
        <v>8920</v>
      </c>
      <c r="M24" s="107">
        <f>9731</f>
        <v>9731</v>
      </c>
      <c r="N24" s="177">
        <f t="shared" si="0"/>
        <v>66225</v>
      </c>
    </row>
    <row r="25" spans="1:14">
      <c r="A25" s="104" t="s">
        <v>83</v>
      </c>
      <c r="B25" s="109"/>
      <c r="C25" s="109"/>
      <c r="D25" s="109"/>
      <c r="E25" s="109"/>
      <c r="F25" s="109"/>
      <c r="G25" s="109"/>
      <c r="H25" s="109"/>
      <c r="I25" s="109"/>
      <c r="J25" s="109"/>
      <c r="K25" s="178"/>
      <c r="L25" s="178"/>
      <c r="M25" s="107"/>
      <c r="N25" s="177">
        <f t="shared" si="0"/>
        <v>0</v>
      </c>
    </row>
    <row r="26" spans="1:14">
      <c r="A26" s="104" t="s">
        <v>84</v>
      </c>
      <c r="B26" s="109"/>
      <c r="C26" s="109"/>
      <c r="D26" s="109"/>
      <c r="E26" s="109"/>
      <c r="F26" s="109"/>
      <c r="G26" s="109"/>
      <c r="H26" s="109"/>
      <c r="I26" s="109"/>
      <c r="J26" s="109"/>
      <c r="K26" s="178"/>
      <c r="L26" s="107"/>
      <c r="M26" s="178"/>
      <c r="N26" s="177">
        <f t="shared" si="0"/>
        <v>0</v>
      </c>
    </row>
    <row r="27" spans="1:14" ht="15.75" thickBot="1">
      <c r="A27" s="104" t="s">
        <v>84</v>
      </c>
      <c r="B27" s="223"/>
      <c r="C27" s="223"/>
      <c r="D27" s="223"/>
      <c r="E27" s="223"/>
      <c r="F27" s="223"/>
      <c r="G27" s="223"/>
      <c r="H27" s="223"/>
      <c r="I27" s="223"/>
      <c r="J27" s="223"/>
      <c r="K27" s="179"/>
      <c r="L27" s="156"/>
      <c r="M27" s="179"/>
      <c r="N27" s="180">
        <f t="shared" si="0"/>
        <v>0</v>
      </c>
    </row>
    <row r="28" spans="1:14" ht="16.5" thickTop="1" thickBot="1">
      <c r="A28" s="84" t="s">
        <v>45</v>
      </c>
      <c r="B28" s="218">
        <f t="shared" ref="B28:M28" si="1">SUM(B4:B27)</f>
        <v>527920</v>
      </c>
      <c r="C28" s="218">
        <f t="shared" si="1"/>
        <v>488490</v>
      </c>
      <c r="D28" s="218">
        <f t="shared" si="1"/>
        <v>370462</v>
      </c>
      <c r="E28" s="218">
        <f t="shared" si="1"/>
        <v>269349</v>
      </c>
      <c r="F28" s="218">
        <f t="shared" si="1"/>
        <v>149645</v>
      </c>
      <c r="G28" s="218">
        <f t="shared" si="1"/>
        <v>73303</v>
      </c>
      <c r="H28" s="218">
        <f t="shared" si="1"/>
        <v>73184</v>
      </c>
      <c r="I28" s="218">
        <f t="shared" si="1"/>
        <v>71102</v>
      </c>
      <c r="J28" s="218">
        <f t="shared" si="1"/>
        <v>94461</v>
      </c>
      <c r="K28" s="218">
        <f t="shared" si="1"/>
        <v>249961</v>
      </c>
      <c r="L28" s="218">
        <f t="shared" si="1"/>
        <v>354279</v>
      </c>
      <c r="M28" s="218">
        <f t="shared" si="1"/>
        <v>417663.96551724139</v>
      </c>
      <c r="N28" s="219">
        <f t="shared" si="0"/>
        <v>3139819.9655172415</v>
      </c>
    </row>
    <row r="29" spans="1:14">
      <c r="A29" s="6"/>
      <c r="B29" s="182"/>
      <c r="C29" s="182"/>
      <c r="D29" s="182"/>
      <c r="E29" s="182"/>
      <c r="F29" s="182"/>
      <c r="G29" s="182"/>
      <c r="H29" s="182"/>
      <c r="I29" s="182"/>
      <c r="J29" s="182"/>
      <c r="K29" s="182"/>
      <c r="L29" s="182"/>
      <c r="M29" s="182"/>
      <c r="N29" s="182"/>
    </row>
    <row r="30" spans="1:14" ht="15.75" thickBot="1">
      <c r="A30" s="6" t="s">
        <v>15</v>
      </c>
      <c r="B30" s="182"/>
      <c r="C30" s="182"/>
      <c r="D30" s="182"/>
      <c r="E30" s="182"/>
      <c r="F30" s="182"/>
      <c r="G30" s="182"/>
      <c r="H30" s="182"/>
      <c r="I30" s="182"/>
      <c r="J30" s="182"/>
      <c r="K30" s="182"/>
      <c r="L30" s="182"/>
      <c r="M30" s="182"/>
      <c r="N30" s="182"/>
    </row>
    <row r="31" spans="1:14">
      <c r="A31" s="5" t="s">
        <v>85</v>
      </c>
      <c r="B31" s="222">
        <v>1817</v>
      </c>
      <c r="C31" s="222">
        <v>2117</v>
      </c>
      <c r="D31" s="222">
        <v>1478</v>
      </c>
      <c r="E31" s="222">
        <v>1340</v>
      </c>
      <c r="F31" s="222">
        <v>493</v>
      </c>
      <c r="G31" s="236">
        <v>41</v>
      </c>
      <c r="H31" s="222">
        <v>66</v>
      </c>
      <c r="I31" s="222">
        <v>0</v>
      </c>
      <c r="J31" s="222">
        <v>0</v>
      </c>
      <c r="K31" s="184">
        <v>694</v>
      </c>
      <c r="L31" s="184">
        <v>871</v>
      </c>
      <c r="M31" s="105">
        <v>1853</v>
      </c>
      <c r="N31" s="176">
        <f>SUM(B31:M31)</f>
        <v>10770</v>
      </c>
    </row>
    <row r="32" spans="1:14">
      <c r="A32" s="3" t="s">
        <v>86</v>
      </c>
      <c r="B32" s="107">
        <v>986</v>
      </c>
      <c r="C32" s="109">
        <v>587</v>
      </c>
      <c r="D32" s="109">
        <v>598</v>
      </c>
      <c r="E32" s="109">
        <v>247</v>
      </c>
      <c r="F32" s="110">
        <v>11</v>
      </c>
      <c r="G32" s="107">
        <v>108</v>
      </c>
      <c r="H32" s="107">
        <v>11</v>
      </c>
      <c r="I32" s="109">
        <v>17</v>
      </c>
      <c r="J32" s="109">
        <v>281</v>
      </c>
      <c r="K32" s="178">
        <v>442</v>
      </c>
      <c r="L32" s="178">
        <v>855</v>
      </c>
      <c r="M32" s="107">
        <v>1289</v>
      </c>
      <c r="N32" s="177">
        <f t="shared" ref="N32:N37" si="2">SUM(B32:M32)</f>
        <v>5432</v>
      </c>
    </row>
    <row r="33" spans="1:14">
      <c r="A33" s="3" t="s">
        <v>87</v>
      </c>
      <c r="B33" s="109">
        <v>2633</v>
      </c>
      <c r="C33" s="109">
        <v>2752</v>
      </c>
      <c r="D33" s="109">
        <v>1992</v>
      </c>
      <c r="E33" s="109">
        <v>1657</v>
      </c>
      <c r="F33" s="109">
        <v>917</v>
      </c>
      <c r="G33" s="110">
        <v>42</v>
      </c>
      <c r="H33" s="109">
        <v>76</v>
      </c>
      <c r="I33" s="109">
        <v>0</v>
      </c>
      <c r="J33" s="109">
        <v>0</v>
      </c>
      <c r="K33" s="178">
        <v>762</v>
      </c>
      <c r="L33" s="178">
        <v>1376</v>
      </c>
      <c r="M33" s="107">
        <v>2383</v>
      </c>
      <c r="N33" s="177">
        <f t="shared" si="2"/>
        <v>14590</v>
      </c>
    </row>
    <row r="34" spans="1:14">
      <c r="A34" s="3" t="s">
        <v>88</v>
      </c>
      <c r="B34" s="109">
        <v>1876</v>
      </c>
      <c r="C34" s="289">
        <v>1873</v>
      </c>
      <c r="D34" s="109">
        <v>1775</v>
      </c>
      <c r="E34" s="109">
        <v>1078</v>
      </c>
      <c r="F34" s="109">
        <v>986</v>
      </c>
      <c r="G34" s="110">
        <v>11</v>
      </c>
      <c r="H34" s="109">
        <v>87</v>
      </c>
      <c r="I34" s="109">
        <v>0</v>
      </c>
      <c r="J34" s="109">
        <v>4</v>
      </c>
      <c r="K34" s="178">
        <v>440</v>
      </c>
      <c r="L34" s="178">
        <v>1010</v>
      </c>
      <c r="M34" s="107">
        <v>1608</v>
      </c>
      <c r="N34" s="177">
        <f t="shared" si="2"/>
        <v>10748</v>
      </c>
    </row>
    <row r="35" spans="1:14">
      <c r="A35" s="3" t="s">
        <v>89</v>
      </c>
      <c r="B35" s="109">
        <v>1008</v>
      </c>
      <c r="C35" s="109">
        <v>856</v>
      </c>
      <c r="D35" s="109">
        <v>895</v>
      </c>
      <c r="E35" s="109">
        <v>500</v>
      </c>
      <c r="F35" s="109">
        <v>218</v>
      </c>
      <c r="G35" s="110">
        <v>4</v>
      </c>
      <c r="H35" s="109">
        <v>45</v>
      </c>
      <c r="I35" s="109">
        <v>4</v>
      </c>
      <c r="J35" s="109">
        <v>23</v>
      </c>
      <c r="K35" s="178">
        <v>212</v>
      </c>
      <c r="L35" s="178">
        <v>471</v>
      </c>
      <c r="M35" s="107">
        <v>737</v>
      </c>
      <c r="N35" s="177">
        <f t="shared" si="2"/>
        <v>4973</v>
      </c>
    </row>
    <row r="36" spans="1:14" ht="15.75" thickBot="1">
      <c r="A36" s="3" t="s">
        <v>90</v>
      </c>
      <c r="B36" s="223">
        <v>229</v>
      </c>
      <c r="C36" s="109">
        <v>385</v>
      </c>
      <c r="D36" s="223">
        <v>232</v>
      </c>
      <c r="E36" s="223">
        <v>374</v>
      </c>
      <c r="F36" s="223">
        <v>255</v>
      </c>
      <c r="G36" s="237">
        <v>185</v>
      </c>
      <c r="H36" s="223">
        <v>316</v>
      </c>
      <c r="I36" s="223">
        <v>191</v>
      </c>
      <c r="J36" s="223">
        <v>274</v>
      </c>
      <c r="K36" s="179">
        <v>339</v>
      </c>
      <c r="L36" s="179">
        <v>239</v>
      </c>
      <c r="M36" s="156">
        <v>374</v>
      </c>
      <c r="N36" s="180">
        <f t="shared" si="2"/>
        <v>3393</v>
      </c>
    </row>
    <row r="37" spans="1:14" ht="16.5" thickTop="1" thickBot="1">
      <c r="A37" s="84" t="s">
        <v>46</v>
      </c>
      <c r="B37" s="218">
        <f>SUM(B31:B36)</f>
        <v>8549</v>
      </c>
      <c r="C37" s="218">
        <f>SUM(C31:C36)</f>
        <v>8570</v>
      </c>
      <c r="D37" s="218">
        <f t="shared" ref="D37:J37" si="3">SUM(D31:D36)</f>
        <v>6970</v>
      </c>
      <c r="E37" s="218">
        <f t="shared" si="3"/>
        <v>5196</v>
      </c>
      <c r="F37" s="218">
        <f t="shared" si="3"/>
        <v>2880</v>
      </c>
      <c r="G37" s="218">
        <f>SUM(G31:G36)</f>
        <v>391</v>
      </c>
      <c r="H37" s="218">
        <f>SUM(H31:H36)</f>
        <v>601</v>
      </c>
      <c r="I37" s="218">
        <f t="shared" si="3"/>
        <v>212</v>
      </c>
      <c r="J37" s="218">
        <f t="shared" si="3"/>
        <v>582</v>
      </c>
      <c r="K37" s="218">
        <f>SUM(K31:K36)</f>
        <v>2889</v>
      </c>
      <c r="L37" s="218">
        <f>SUM(L31:L36)</f>
        <v>4822</v>
      </c>
      <c r="M37" s="218">
        <f>SUM(M31:M36)</f>
        <v>8244</v>
      </c>
      <c r="N37" s="219">
        <f t="shared" si="2"/>
        <v>49906</v>
      </c>
    </row>
    <row r="38" spans="1:14" ht="15.75" thickBot="1">
      <c r="A38" s="17"/>
      <c r="B38" s="159"/>
      <c r="C38" s="159"/>
      <c r="D38" s="159"/>
      <c r="E38" s="159"/>
      <c r="F38" s="159"/>
      <c r="G38" s="159"/>
      <c r="H38" s="159"/>
      <c r="I38" s="159"/>
      <c r="J38" s="159"/>
      <c r="K38" s="159"/>
      <c r="L38" s="159"/>
      <c r="M38" s="159"/>
      <c r="N38" s="159"/>
    </row>
    <row r="39" spans="1:14" ht="15.75" thickBot="1">
      <c r="A39" s="93" t="s">
        <v>20</v>
      </c>
      <c r="B39" s="227">
        <v>17703</v>
      </c>
      <c r="C39" s="227">
        <v>16490</v>
      </c>
      <c r="D39" s="227">
        <v>11798</v>
      </c>
      <c r="E39" s="227">
        <v>8849</v>
      </c>
      <c r="F39" s="227">
        <v>3995</v>
      </c>
      <c r="G39" s="227">
        <v>43</v>
      </c>
      <c r="H39" s="227">
        <v>1304</v>
      </c>
      <c r="I39" s="227">
        <v>1119</v>
      </c>
      <c r="J39" s="227">
        <v>1045</v>
      </c>
      <c r="K39" s="227">
        <v>5925</v>
      </c>
      <c r="L39" s="227">
        <v>4991</v>
      </c>
      <c r="M39" s="227">
        <v>16414</v>
      </c>
      <c r="N39" s="228">
        <f>SUM(B39:M39)</f>
        <v>89676</v>
      </c>
    </row>
    <row r="40" spans="1:14" ht="15.75" thickBot="1">
      <c r="A40" s="17"/>
      <c r="B40" s="159"/>
      <c r="C40" s="159"/>
      <c r="D40" s="159"/>
      <c r="E40" s="159"/>
      <c r="F40" s="159"/>
      <c r="G40" s="159"/>
      <c r="H40" s="159"/>
      <c r="I40" s="159"/>
      <c r="J40" s="159"/>
      <c r="K40" s="159"/>
      <c r="L40" s="159"/>
      <c r="M40" s="159"/>
      <c r="N40" s="159"/>
    </row>
    <row r="41" spans="1:14" ht="15.75" thickBot="1">
      <c r="A41" s="85" t="s">
        <v>61</v>
      </c>
      <c r="B41" s="224">
        <f>B28+B37+B39</f>
        <v>554172</v>
      </c>
      <c r="C41" s="224">
        <f t="shared" ref="C41:N41" si="4">C28+C37+C39</f>
        <v>513550</v>
      </c>
      <c r="D41" s="224">
        <f t="shared" si="4"/>
        <v>389230</v>
      </c>
      <c r="E41" s="224">
        <f t="shared" si="4"/>
        <v>283394</v>
      </c>
      <c r="F41" s="224">
        <f t="shared" si="4"/>
        <v>156520</v>
      </c>
      <c r="G41" s="224">
        <f t="shared" si="4"/>
        <v>73737</v>
      </c>
      <c r="H41" s="224">
        <f t="shared" si="4"/>
        <v>75089</v>
      </c>
      <c r="I41" s="224">
        <f t="shared" si="4"/>
        <v>72433</v>
      </c>
      <c r="J41" s="224">
        <f t="shared" si="4"/>
        <v>96088</v>
      </c>
      <c r="K41" s="224">
        <f t="shared" si="4"/>
        <v>258775</v>
      </c>
      <c r="L41" s="224">
        <f t="shared" si="4"/>
        <v>364092</v>
      </c>
      <c r="M41" s="224">
        <f t="shared" si="4"/>
        <v>442321.96551724139</v>
      </c>
      <c r="N41" s="224">
        <f t="shared" si="4"/>
        <v>3279401.9655172415</v>
      </c>
    </row>
    <row r="42" spans="1:14">
      <c r="A42" s="17"/>
      <c r="B42" s="17"/>
      <c r="C42" s="17"/>
      <c r="D42" s="17"/>
      <c r="E42" s="17"/>
      <c r="F42" s="17"/>
      <c r="G42" s="17"/>
      <c r="H42" s="17"/>
      <c r="I42" s="17"/>
      <c r="J42" s="17"/>
      <c r="K42" s="17"/>
      <c r="L42" s="17"/>
      <c r="M42" s="17"/>
      <c r="N42" s="17"/>
    </row>
    <row r="43" spans="1:14">
      <c r="A43" s="17"/>
      <c r="B43" s="17"/>
      <c r="C43" s="17"/>
      <c r="D43" s="17"/>
      <c r="E43" s="17"/>
      <c r="F43" s="17"/>
      <c r="G43" s="17"/>
      <c r="H43" s="17"/>
      <c r="I43" s="17"/>
      <c r="J43" s="17"/>
      <c r="K43" s="17"/>
      <c r="L43" s="17"/>
      <c r="M43" s="17"/>
      <c r="N43" s="17"/>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44"/>
  <sheetViews>
    <sheetView topLeftCell="A19" workbookViewId="0">
      <selection activeCell="A15" sqref="A15:XFD15"/>
    </sheetView>
  </sheetViews>
  <sheetFormatPr defaultColWidth="8.85546875" defaultRowHeight="15"/>
  <cols>
    <col min="1" max="1" width="26.85546875" customWidth="1"/>
    <col min="9" max="9" width="9.140625" bestFit="1" customWidth="1"/>
    <col min="14" max="14" width="13.42578125" customWidth="1"/>
  </cols>
  <sheetData>
    <row r="1" spans="1:14" ht="17.25" thickBot="1">
      <c r="A1" s="82" t="s">
        <v>0</v>
      </c>
      <c r="B1" s="90">
        <v>43831</v>
      </c>
      <c r="C1" s="90">
        <v>43862</v>
      </c>
      <c r="D1" s="90">
        <v>43891</v>
      </c>
      <c r="E1" s="90">
        <v>43922</v>
      </c>
      <c r="F1" s="90">
        <v>43952</v>
      </c>
      <c r="G1" s="90">
        <v>43983</v>
      </c>
      <c r="H1" s="90">
        <v>44013</v>
      </c>
      <c r="I1" s="90">
        <v>44044</v>
      </c>
      <c r="J1" s="90">
        <v>44075</v>
      </c>
      <c r="K1" s="90">
        <v>44105</v>
      </c>
      <c r="L1" s="90">
        <v>44136</v>
      </c>
      <c r="M1" s="90">
        <v>44166</v>
      </c>
      <c r="N1" s="9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
      <c r="A4" s="100" t="s">
        <v>91</v>
      </c>
      <c r="B4" s="184">
        <v>156027</v>
      </c>
      <c r="C4" s="184">
        <v>123512</v>
      </c>
      <c r="D4" s="184">
        <v>94956</v>
      </c>
      <c r="E4" s="184">
        <v>78309</v>
      </c>
      <c r="F4" s="184">
        <v>27605</v>
      </c>
      <c r="G4" s="184">
        <v>20306</v>
      </c>
      <c r="H4" s="184">
        <v>17620</v>
      </c>
      <c r="I4" s="184">
        <v>18960</v>
      </c>
      <c r="J4" s="184">
        <v>44269</v>
      </c>
      <c r="K4" s="184">
        <v>89697</v>
      </c>
      <c r="L4" s="184">
        <v>110659</v>
      </c>
      <c r="M4" s="105">
        <v>161398</v>
      </c>
      <c r="N4" s="176">
        <f>SUM(B4:M4)</f>
        <v>943318</v>
      </c>
    </row>
    <row r="5" spans="1:14" s="301" customFormat="1">
      <c r="A5" s="299" t="s">
        <v>21</v>
      </c>
      <c r="B5" s="300">
        <v>45926</v>
      </c>
      <c r="C5" s="300">
        <v>39422</v>
      </c>
      <c r="D5" s="301">
        <v>21158</v>
      </c>
      <c r="E5" s="300">
        <v>15941</v>
      </c>
      <c r="F5" s="300">
        <v>3194</v>
      </c>
      <c r="G5" s="300">
        <v>362</v>
      </c>
      <c r="H5" s="300">
        <v>367</v>
      </c>
      <c r="I5" s="300">
        <v>550</v>
      </c>
      <c r="J5" s="300">
        <v>3603</v>
      </c>
      <c r="K5" s="300">
        <v>24496</v>
      </c>
      <c r="L5" s="300">
        <v>39361</v>
      </c>
      <c r="M5" s="302">
        <v>58503</v>
      </c>
      <c r="N5" s="303">
        <f t="shared" ref="N5:N25" si="0">SUM(B5:M5)</f>
        <v>252883</v>
      </c>
    </row>
    <row r="6" spans="1:14">
      <c r="A6" s="83" t="s">
        <v>92</v>
      </c>
      <c r="B6" s="109">
        <v>498</v>
      </c>
      <c r="C6" s="109">
        <v>1017</v>
      </c>
      <c r="D6" s="178">
        <v>729</v>
      </c>
      <c r="E6" s="109">
        <v>200</v>
      </c>
      <c r="F6" s="109">
        <v>155</v>
      </c>
      <c r="G6" s="110">
        <v>38</v>
      </c>
      <c r="H6" s="109">
        <v>33</v>
      </c>
      <c r="I6" s="109">
        <v>166</v>
      </c>
      <c r="J6" s="109">
        <v>291</v>
      </c>
      <c r="K6" s="178">
        <v>961</v>
      </c>
      <c r="L6" s="178">
        <v>304</v>
      </c>
      <c r="M6" s="107">
        <v>720</v>
      </c>
      <c r="N6" s="177">
        <f t="shared" si="0"/>
        <v>5112</v>
      </c>
    </row>
    <row r="7" spans="1:14">
      <c r="A7" s="83" t="s">
        <v>2</v>
      </c>
      <c r="B7" s="109">
        <v>9569</v>
      </c>
      <c r="C7" s="109">
        <v>10891</v>
      </c>
      <c r="D7" s="109">
        <v>6243</v>
      </c>
      <c r="E7" s="109">
        <v>8041</v>
      </c>
      <c r="F7" s="109">
        <v>2104</v>
      </c>
      <c r="G7" s="109">
        <v>1314</v>
      </c>
      <c r="H7" s="109">
        <v>509</v>
      </c>
      <c r="I7" s="109">
        <v>1314</v>
      </c>
      <c r="J7" s="109">
        <v>1837</v>
      </c>
      <c r="K7" s="178">
        <v>3601</v>
      </c>
      <c r="L7" s="178">
        <v>1576</v>
      </c>
      <c r="M7" s="107">
        <v>8429</v>
      </c>
      <c r="N7" s="177">
        <f t="shared" si="0"/>
        <v>55428</v>
      </c>
    </row>
    <row r="8" spans="1:14">
      <c r="A8" s="83" t="s">
        <v>69</v>
      </c>
      <c r="B8" s="109">
        <v>9259</v>
      </c>
      <c r="C8" s="109">
        <v>8477</v>
      </c>
      <c r="D8" s="109">
        <v>8092</v>
      </c>
      <c r="E8" s="109">
        <v>7048</v>
      </c>
      <c r="F8" s="109">
        <v>3556</v>
      </c>
      <c r="G8" s="109">
        <v>805</v>
      </c>
      <c r="H8" s="109">
        <v>869</v>
      </c>
      <c r="I8" s="109">
        <v>804</v>
      </c>
      <c r="J8" s="109">
        <v>473</v>
      </c>
      <c r="K8" s="178">
        <v>4144</v>
      </c>
      <c r="L8" s="178">
        <v>4518</v>
      </c>
      <c r="M8" s="107">
        <v>7211</v>
      </c>
      <c r="N8" s="177">
        <f t="shared" si="0"/>
        <v>55256</v>
      </c>
    </row>
    <row r="9" spans="1:14">
      <c r="A9" s="83" t="s">
        <v>70</v>
      </c>
      <c r="B9" s="109">
        <v>1564</v>
      </c>
      <c r="C9" s="109">
        <v>1961</v>
      </c>
      <c r="D9" s="109">
        <v>1896</v>
      </c>
      <c r="E9" s="109">
        <v>442</v>
      </c>
      <c r="F9" s="109">
        <v>354</v>
      </c>
      <c r="G9" s="109">
        <v>304</v>
      </c>
      <c r="H9" s="109">
        <v>253</v>
      </c>
      <c r="I9" s="109">
        <v>276</v>
      </c>
      <c r="J9" s="109">
        <v>236</v>
      </c>
      <c r="K9" s="178">
        <v>293</v>
      </c>
      <c r="L9" s="178">
        <v>276</v>
      </c>
      <c r="M9" s="107">
        <v>335</v>
      </c>
      <c r="N9" s="177">
        <f t="shared" si="0"/>
        <v>8190</v>
      </c>
    </row>
    <row r="10" spans="1:14">
      <c r="A10" s="83" t="s">
        <v>71</v>
      </c>
      <c r="B10" s="109">
        <v>1289</v>
      </c>
      <c r="C10" s="109">
        <v>1637</v>
      </c>
      <c r="D10" s="109">
        <v>1584</v>
      </c>
      <c r="E10" s="109">
        <v>405</v>
      </c>
      <c r="F10" s="109">
        <v>326</v>
      </c>
      <c r="G10" s="109">
        <v>270</v>
      </c>
      <c r="H10" s="109">
        <v>225</v>
      </c>
      <c r="I10" s="109">
        <v>286</v>
      </c>
      <c r="J10" s="109">
        <v>248</v>
      </c>
      <c r="K10" s="178">
        <v>293</v>
      </c>
      <c r="L10" s="178">
        <v>276</v>
      </c>
      <c r="M10" s="107">
        <v>326</v>
      </c>
      <c r="N10" s="177">
        <f t="shared" si="0"/>
        <v>7165</v>
      </c>
    </row>
    <row r="11" spans="1:14">
      <c r="A11" s="83" t="s">
        <v>72</v>
      </c>
      <c r="B11" s="109">
        <v>3787</v>
      </c>
      <c r="C11" s="109">
        <v>2999</v>
      </c>
      <c r="D11" s="109">
        <v>5754</v>
      </c>
      <c r="E11" s="109">
        <v>1688</v>
      </c>
      <c r="F11" s="109">
        <v>1286</v>
      </c>
      <c r="G11" s="109">
        <v>760</v>
      </c>
      <c r="H11" s="109">
        <v>627</v>
      </c>
      <c r="I11" s="109">
        <v>1691</v>
      </c>
      <c r="J11" s="109">
        <v>591</v>
      </c>
      <c r="K11" s="178">
        <v>3115</v>
      </c>
      <c r="L11" s="178">
        <v>2642</v>
      </c>
      <c r="M11" s="107">
        <v>3618</v>
      </c>
      <c r="N11" s="177">
        <f t="shared" si="0"/>
        <v>28558</v>
      </c>
    </row>
    <row r="12" spans="1:14">
      <c r="A12" s="83" t="s">
        <v>73</v>
      </c>
      <c r="B12" s="109">
        <v>3141</v>
      </c>
      <c r="C12" s="109">
        <v>3136</v>
      </c>
      <c r="D12" s="109">
        <v>2907</v>
      </c>
      <c r="E12" s="109">
        <v>2469</v>
      </c>
      <c r="F12" s="109">
        <v>1577</v>
      </c>
      <c r="G12" s="109">
        <v>71</v>
      </c>
      <c r="H12" s="109">
        <v>228</v>
      </c>
      <c r="I12" s="109">
        <v>71</v>
      </c>
      <c r="J12" s="109">
        <v>36</v>
      </c>
      <c r="K12" s="178">
        <v>1298</v>
      </c>
      <c r="L12" s="178">
        <v>873</v>
      </c>
      <c r="M12" s="107">
        <v>2545</v>
      </c>
      <c r="N12" s="177">
        <f t="shared" si="0"/>
        <v>18352</v>
      </c>
    </row>
    <row r="13" spans="1:14">
      <c r="A13" s="83" t="s">
        <v>74</v>
      </c>
      <c r="B13" s="109">
        <v>8824</v>
      </c>
      <c r="C13" s="109">
        <v>13598</v>
      </c>
      <c r="D13" s="109">
        <v>23580</v>
      </c>
      <c r="E13" s="109">
        <v>10883</v>
      </c>
      <c r="F13" s="109">
        <v>7698</v>
      </c>
      <c r="G13" s="109">
        <v>2591</v>
      </c>
      <c r="H13" s="109">
        <v>746</v>
      </c>
      <c r="I13" s="109">
        <v>2591</v>
      </c>
      <c r="J13" s="109">
        <v>6086</v>
      </c>
      <c r="K13" s="178">
        <v>5931</v>
      </c>
      <c r="L13" s="178">
        <v>5849</v>
      </c>
      <c r="M13" s="107">
        <v>10838</v>
      </c>
      <c r="N13" s="177">
        <f t="shared" si="0"/>
        <v>99215</v>
      </c>
    </row>
    <row r="14" spans="1:14">
      <c r="A14" s="83" t="s">
        <v>75</v>
      </c>
      <c r="B14" s="109">
        <v>9321</v>
      </c>
      <c r="C14" s="109">
        <v>9833</v>
      </c>
      <c r="D14" s="109">
        <v>8550</v>
      </c>
      <c r="E14" s="109">
        <v>7442</v>
      </c>
      <c r="F14" s="109">
        <v>2822</v>
      </c>
      <c r="G14" s="110">
        <v>354</v>
      </c>
      <c r="H14" s="109">
        <v>782</v>
      </c>
      <c r="I14" s="109">
        <v>354</v>
      </c>
      <c r="J14" s="109">
        <v>864</v>
      </c>
      <c r="K14" s="178">
        <v>3565</v>
      </c>
      <c r="L14" s="178">
        <v>5064</v>
      </c>
      <c r="M14" s="107">
        <v>7388</v>
      </c>
      <c r="N14" s="177">
        <f t="shared" si="0"/>
        <v>56339</v>
      </c>
    </row>
    <row r="15" spans="1:14">
      <c r="A15" s="83" t="s">
        <v>76</v>
      </c>
      <c r="B15" s="109">
        <v>9957</v>
      </c>
      <c r="C15" s="109">
        <v>14104</v>
      </c>
      <c r="D15" s="109">
        <v>5211</v>
      </c>
      <c r="E15" s="109">
        <v>10145</v>
      </c>
      <c r="F15" s="109">
        <v>1511</v>
      </c>
      <c r="G15" s="110">
        <v>566</v>
      </c>
      <c r="H15" s="109">
        <v>183</v>
      </c>
      <c r="I15" s="109">
        <v>14</v>
      </c>
      <c r="J15" s="109">
        <v>430</v>
      </c>
      <c r="K15" s="178">
        <v>4209</v>
      </c>
      <c r="L15" s="178">
        <v>2467</v>
      </c>
      <c r="M15" s="107">
        <v>10674</v>
      </c>
      <c r="N15" s="177">
        <f t="shared" si="0"/>
        <v>59471</v>
      </c>
    </row>
    <row r="16" spans="1:14">
      <c r="A16" s="83" t="s">
        <v>77</v>
      </c>
      <c r="B16" s="109">
        <v>8601</v>
      </c>
      <c r="C16" s="109">
        <v>9411</v>
      </c>
      <c r="D16" s="109">
        <v>8063</v>
      </c>
      <c r="E16" s="109">
        <v>7250</v>
      </c>
      <c r="F16" s="109">
        <v>3297</v>
      </c>
      <c r="G16" s="109">
        <v>1207</v>
      </c>
      <c r="H16" s="109">
        <v>141</v>
      </c>
      <c r="I16" s="109">
        <v>174</v>
      </c>
      <c r="J16" s="109">
        <v>951</v>
      </c>
      <c r="K16" s="178">
        <v>3281</v>
      </c>
      <c r="L16" s="178">
        <v>5787</v>
      </c>
      <c r="M16" s="107">
        <v>7067</v>
      </c>
      <c r="N16" s="177">
        <f t="shared" si="0"/>
        <v>55230</v>
      </c>
    </row>
    <row r="17" spans="1:14">
      <c r="A17" s="83" t="s">
        <v>78</v>
      </c>
      <c r="B17" s="109">
        <v>2107</v>
      </c>
      <c r="C17" s="109">
        <v>1696</v>
      </c>
      <c r="D17" s="109">
        <v>1817</v>
      </c>
      <c r="E17" s="109">
        <v>1197</v>
      </c>
      <c r="F17" s="109">
        <v>1178</v>
      </c>
      <c r="G17" s="109">
        <v>168</v>
      </c>
      <c r="H17" s="109">
        <v>52</v>
      </c>
      <c r="I17" s="109">
        <v>169</v>
      </c>
      <c r="J17" s="109">
        <v>148</v>
      </c>
      <c r="K17" s="178">
        <v>467</v>
      </c>
      <c r="L17" s="178">
        <v>743</v>
      </c>
      <c r="M17" s="107">
        <v>1375</v>
      </c>
      <c r="N17" s="177">
        <f t="shared" si="0"/>
        <v>11117</v>
      </c>
    </row>
    <row r="18" spans="1:14">
      <c r="A18" s="25" t="s">
        <v>79</v>
      </c>
      <c r="B18" s="109">
        <v>15791</v>
      </c>
      <c r="C18" s="109">
        <v>13351</v>
      </c>
      <c r="D18" s="109">
        <v>9267</v>
      </c>
      <c r="E18" s="109">
        <v>6285</v>
      </c>
      <c r="F18" s="109">
        <v>1059</v>
      </c>
      <c r="G18" s="109">
        <v>293</v>
      </c>
      <c r="H18" s="109">
        <v>226</v>
      </c>
      <c r="I18" s="109">
        <v>291</v>
      </c>
      <c r="J18" s="109">
        <v>3309</v>
      </c>
      <c r="K18" s="178">
        <v>7460</v>
      </c>
      <c r="L18" s="178">
        <v>10895</v>
      </c>
      <c r="M18" s="107">
        <v>14855</v>
      </c>
      <c r="N18" s="177">
        <f t="shared" si="0"/>
        <v>83082</v>
      </c>
    </row>
    <row r="19" spans="1:14">
      <c r="A19" s="25" t="s">
        <v>80</v>
      </c>
      <c r="B19" s="109">
        <v>1795</v>
      </c>
      <c r="C19" s="109">
        <v>1620</v>
      </c>
      <c r="D19" s="109">
        <v>521</v>
      </c>
      <c r="E19" s="109">
        <v>359</v>
      </c>
      <c r="F19" s="110">
        <v>44</v>
      </c>
      <c r="G19" s="109">
        <v>34</v>
      </c>
      <c r="H19" s="109">
        <v>21</v>
      </c>
      <c r="I19" s="109">
        <v>18</v>
      </c>
      <c r="J19" s="109">
        <v>182</v>
      </c>
      <c r="K19" s="178">
        <v>410</v>
      </c>
      <c r="L19" s="178">
        <v>1290</v>
      </c>
      <c r="M19" s="107">
        <v>1682</v>
      </c>
      <c r="N19" s="177">
        <f t="shared" si="0"/>
        <v>7976</v>
      </c>
    </row>
    <row r="20" spans="1:14">
      <c r="A20" s="25" t="s">
        <v>81</v>
      </c>
      <c r="B20" s="109">
        <v>39987</v>
      </c>
      <c r="C20" s="109">
        <v>33276</v>
      </c>
      <c r="D20" s="109">
        <v>26556</v>
      </c>
      <c r="E20" s="109">
        <v>39905</v>
      </c>
      <c r="F20" s="109">
        <v>9972</v>
      </c>
      <c r="G20" s="109">
        <v>1153</v>
      </c>
      <c r="H20" s="109">
        <v>821</v>
      </c>
      <c r="I20" s="109">
        <v>1278</v>
      </c>
      <c r="J20" s="109">
        <v>4528</v>
      </c>
      <c r="K20" s="178">
        <v>18218</v>
      </c>
      <c r="L20" s="178">
        <v>27507</v>
      </c>
      <c r="M20" s="107">
        <v>39329</v>
      </c>
      <c r="N20" s="177">
        <f t="shared" si="0"/>
        <v>242530</v>
      </c>
    </row>
    <row r="21" spans="1:14">
      <c r="A21" s="25" t="s">
        <v>23</v>
      </c>
      <c r="B21" s="109">
        <v>38866</v>
      </c>
      <c r="C21" s="109">
        <v>36467</v>
      </c>
      <c r="D21" s="109">
        <v>31266</v>
      </c>
      <c r="E21" s="109">
        <v>21983</v>
      </c>
      <c r="F21" s="109">
        <v>13872</v>
      </c>
      <c r="G21" s="109">
        <v>6946</v>
      </c>
      <c r="H21" s="109">
        <v>6377</v>
      </c>
      <c r="I21" s="109">
        <v>7470</v>
      </c>
      <c r="J21" s="109">
        <v>12028</v>
      </c>
      <c r="K21" s="178">
        <v>24606</v>
      </c>
      <c r="L21" s="178">
        <v>26674</v>
      </c>
      <c r="M21" s="107">
        <v>36889</v>
      </c>
      <c r="N21" s="177">
        <f t="shared" si="0"/>
        <v>263444</v>
      </c>
    </row>
    <row r="22" spans="1:14">
      <c r="A22" s="25" t="s">
        <v>82</v>
      </c>
      <c r="B22" s="109">
        <v>59560</v>
      </c>
      <c r="C22" s="109">
        <v>49945</v>
      </c>
      <c r="D22" s="109">
        <v>36758</v>
      </c>
      <c r="E22" s="109">
        <v>36649</v>
      </c>
      <c r="F22" s="109">
        <v>18247</v>
      </c>
      <c r="G22" s="109">
        <v>12781</v>
      </c>
      <c r="H22" s="109">
        <v>12794</v>
      </c>
      <c r="I22" s="109">
        <v>15117</v>
      </c>
      <c r="J22" s="109">
        <v>20781</v>
      </c>
      <c r="K22" s="178">
        <v>19904</v>
      </c>
      <c r="L22" s="178">
        <v>20687</v>
      </c>
      <c r="M22" s="107">
        <v>59200</v>
      </c>
      <c r="N22" s="177">
        <f t="shared" si="0"/>
        <v>362423</v>
      </c>
    </row>
    <row r="23" spans="1:14">
      <c r="A23" s="104" t="s">
        <v>24</v>
      </c>
      <c r="B23" s="109">
        <v>19144</v>
      </c>
      <c r="C23" s="109">
        <v>12939</v>
      </c>
      <c r="D23" s="109">
        <v>12383</v>
      </c>
      <c r="E23" s="109">
        <v>13591</v>
      </c>
      <c r="F23" s="109">
        <v>8965</v>
      </c>
      <c r="G23" s="109">
        <v>5946</v>
      </c>
      <c r="H23" s="109">
        <v>7138</v>
      </c>
      <c r="I23" s="109">
        <v>7736</v>
      </c>
      <c r="J23" s="109">
        <v>9086</v>
      </c>
      <c r="K23" s="178">
        <v>13069</v>
      </c>
      <c r="L23" s="178">
        <v>15784</v>
      </c>
      <c r="M23" s="107">
        <v>21211</v>
      </c>
      <c r="N23" s="177">
        <f t="shared" si="0"/>
        <v>146992</v>
      </c>
    </row>
    <row r="24" spans="1:14">
      <c r="A24" s="104" t="s">
        <v>25</v>
      </c>
      <c r="B24" s="109">
        <v>10020</v>
      </c>
      <c r="C24" s="109">
        <v>8838</v>
      </c>
      <c r="D24" s="109">
        <v>7232</v>
      </c>
      <c r="E24" s="109">
        <v>5844</v>
      </c>
      <c r="F24" s="109">
        <v>3595</v>
      </c>
      <c r="G24" s="109">
        <v>1431</v>
      </c>
      <c r="H24" s="109">
        <v>547</v>
      </c>
      <c r="I24" s="109">
        <v>1479</v>
      </c>
      <c r="J24" s="109">
        <v>4190</v>
      </c>
      <c r="K24" s="178">
        <v>7796</v>
      </c>
      <c r="L24" s="178">
        <v>8209</v>
      </c>
      <c r="M24" s="107">
        <v>10541</v>
      </c>
      <c r="N24" s="177">
        <f t="shared" si="0"/>
        <v>69722</v>
      </c>
    </row>
    <row r="25" spans="1:14" ht="15.75" thickBot="1">
      <c r="A25" s="84" t="s">
        <v>45</v>
      </c>
      <c r="B25" s="218">
        <f t="shared" ref="B25:M25" si="1">SUM(B4:B24)</f>
        <v>455033</v>
      </c>
      <c r="C25" s="218">
        <f t="shared" si="1"/>
        <v>398130</v>
      </c>
      <c r="D25" s="218">
        <f t="shared" si="1"/>
        <v>314523</v>
      </c>
      <c r="E25" s="218">
        <f t="shared" si="1"/>
        <v>276076</v>
      </c>
      <c r="F25" s="218">
        <f t="shared" si="1"/>
        <v>112417</v>
      </c>
      <c r="G25" s="218">
        <f t="shared" si="1"/>
        <v>57700</v>
      </c>
      <c r="H25" s="218">
        <f t="shared" si="1"/>
        <v>50559</v>
      </c>
      <c r="I25" s="218">
        <f t="shared" si="1"/>
        <v>60809</v>
      </c>
      <c r="J25" s="218">
        <f t="shared" si="1"/>
        <v>114167</v>
      </c>
      <c r="K25" s="218">
        <f t="shared" si="1"/>
        <v>236814</v>
      </c>
      <c r="L25" s="218">
        <f t="shared" si="1"/>
        <v>291441</v>
      </c>
      <c r="M25" s="218">
        <f t="shared" si="1"/>
        <v>464134</v>
      </c>
      <c r="N25" s="219">
        <f t="shared" si="0"/>
        <v>2831803</v>
      </c>
    </row>
    <row r="26" spans="1:14">
      <c r="A26" s="6"/>
      <c r="B26" s="182"/>
      <c r="C26" s="182"/>
      <c r="D26" s="182"/>
      <c r="E26" s="182"/>
      <c r="F26" s="182"/>
      <c r="G26" s="182"/>
      <c r="H26" s="182"/>
      <c r="I26" s="182"/>
      <c r="J26" s="182"/>
      <c r="K26" s="182"/>
      <c r="L26" s="182"/>
      <c r="M26" s="182"/>
      <c r="N26" s="182"/>
    </row>
    <row r="27" spans="1:14" ht="15.75" thickBot="1">
      <c r="A27" s="6" t="s">
        <v>15</v>
      </c>
      <c r="B27" s="182"/>
      <c r="C27" s="182"/>
      <c r="D27" s="182"/>
      <c r="E27" s="182"/>
      <c r="F27" s="182"/>
      <c r="G27" s="182"/>
      <c r="H27" s="182"/>
      <c r="I27" s="182"/>
      <c r="J27" s="182"/>
      <c r="K27" s="182"/>
      <c r="L27" s="182"/>
      <c r="M27" s="182"/>
      <c r="N27" s="182"/>
    </row>
    <row r="28" spans="1:14">
      <c r="A28" s="5" t="s">
        <v>85</v>
      </c>
      <c r="B28" s="222">
        <v>1422</v>
      </c>
      <c r="C28" s="222">
        <v>1927</v>
      </c>
      <c r="D28" s="222">
        <v>1074</v>
      </c>
      <c r="E28" s="222">
        <v>1364</v>
      </c>
      <c r="F28" s="222">
        <v>515</v>
      </c>
      <c r="G28" s="236">
        <v>46</v>
      </c>
      <c r="H28" s="222">
        <v>445</v>
      </c>
      <c r="I28" s="222">
        <v>0</v>
      </c>
      <c r="J28" s="222">
        <v>0</v>
      </c>
      <c r="K28" s="184">
        <v>344</v>
      </c>
      <c r="L28" s="184">
        <v>608</v>
      </c>
      <c r="M28" s="105">
        <v>1561</v>
      </c>
      <c r="N28" s="176">
        <f>SUM(B28:M28)</f>
        <v>9306</v>
      </c>
    </row>
    <row r="29" spans="1:14">
      <c r="A29" s="3" t="s">
        <v>86</v>
      </c>
      <c r="B29" s="107">
        <v>866</v>
      </c>
      <c r="C29" s="109">
        <v>698</v>
      </c>
      <c r="D29" s="109">
        <v>601</v>
      </c>
      <c r="E29" s="109">
        <v>242</v>
      </c>
      <c r="F29" s="110">
        <v>17</v>
      </c>
      <c r="G29" s="107">
        <v>8</v>
      </c>
      <c r="H29" s="107">
        <v>16</v>
      </c>
      <c r="I29" s="109">
        <v>0</v>
      </c>
      <c r="J29" s="109">
        <v>0</v>
      </c>
      <c r="K29" s="178">
        <v>269</v>
      </c>
      <c r="L29" s="178">
        <v>265</v>
      </c>
      <c r="M29" s="107">
        <v>742</v>
      </c>
      <c r="N29" s="177">
        <f t="shared" ref="N29:N34" si="2">SUM(B29:M29)</f>
        <v>3724</v>
      </c>
    </row>
    <row r="30" spans="1:14">
      <c r="A30" s="3" t="s">
        <v>87</v>
      </c>
      <c r="B30" s="109">
        <v>2518</v>
      </c>
      <c r="C30" s="109">
        <v>2301</v>
      </c>
      <c r="D30" s="109">
        <v>608</v>
      </c>
      <c r="E30" s="109">
        <v>965</v>
      </c>
      <c r="F30" s="109">
        <v>551</v>
      </c>
      <c r="G30" s="110">
        <v>17</v>
      </c>
      <c r="H30" s="109">
        <v>3</v>
      </c>
      <c r="I30" s="109">
        <v>42</v>
      </c>
      <c r="J30" s="109">
        <v>0</v>
      </c>
      <c r="K30" s="178">
        <v>692</v>
      </c>
      <c r="L30" s="178">
        <v>298</v>
      </c>
      <c r="M30" s="107">
        <v>2088</v>
      </c>
      <c r="N30" s="177">
        <f t="shared" si="2"/>
        <v>10083</v>
      </c>
    </row>
    <row r="31" spans="1:14">
      <c r="A31" s="3" t="s">
        <v>88</v>
      </c>
      <c r="B31" s="109">
        <v>1292</v>
      </c>
      <c r="C31" s="289">
        <v>1678</v>
      </c>
      <c r="D31" s="109">
        <v>917</v>
      </c>
      <c r="E31" s="109">
        <v>1142</v>
      </c>
      <c r="F31" s="109">
        <v>327</v>
      </c>
      <c r="G31" s="110">
        <v>3</v>
      </c>
      <c r="H31" s="109">
        <v>27</v>
      </c>
      <c r="I31" s="109">
        <v>5</v>
      </c>
      <c r="J31" s="109">
        <v>0</v>
      </c>
      <c r="K31" s="178">
        <v>482</v>
      </c>
      <c r="L31" s="178">
        <v>581</v>
      </c>
      <c r="M31" s="107">
        <v>1403</v>
      </c>
      <c r="N31" s="177">
        <f t="shared" si="2"/>
        <v>7857</v>
      </c>
    </row>
    <row r="32" spans="1:14">
      <c r="A32" s="3" t="s">
        <v>89</v>
      </c>
      <c r="B32" s="109">
        <v>774</v>
      </c>
      <c r="C32" s="109">
        <v>789</v>
      </c>
      <c r="D32" s="109">
        <v>438</v>
      </c>
      <c r="E32" s="109">
        <v>513</v>
      </c>
      <c r="F32" s="109">
        <v>298</v>
      </c>
      <c r="G32" s="110">
        <v>10</v>
      </c>
      <c r="H32" s="109">
        <v>44</v>
      </c>
      <c r="I32" s="109">
        <v>9</v>
      </c>
      <c r="J32" s="109">
        <v>55</v>
      </c>
      <c r="K32" s="178">
        <v>184</v>
      </c>
      <c r="L32" s="178">
        <v>339</v>
      </c>
      <c r="M32" s="107">
        <v>668</v>
      </c>
      <c r="N32" s="177">
        <f t="shared" si="2"/>
        <v>4121</v>
      </c>
    </row>
    <row r="33" spans="1:14" ht="15.75" thickBot="1">
      <c r="A33" s="3" t="s">
        <v>90</v>
      </c>
      <c r="B33" s="223">
        <v>221</v>
      </c>
      <c r="C33" s="109">
        <v>370</v>
      </c>
      <c r="D33" s="223">
        <v>134</v>
      </c>
      <c r="E33" s="223">
        <v>380</v>
      </c>
      <c r="F33" s="223">
        <v>27</v>
      </c>
      <c r="G33" s="237">
        <v>225</v>
      </c>
      <c r="H33" s="223">
        <v>102</v>
      </c>
      <c r="I33" s="223">
        <v>211</v>
      </c>
      <c r="J33" s="223">
        <v>102</v>
      </c>
      <c r="K33" s="179">
        <v>325</v>
      </c>
      <c r="L33" s="179">
        <v>22</v>
      </c>
      <c r="M33" s="156">
        <v>360</v>
      </c>
      <c r="N33" s="180">
        <f t="shared" si="2"/>
        <v>2479</v>
      </c>
    </row>
    <row r="34" spans="1:14" ht="16.5" thickTop="1" thickBot="1">
      <c r="A34" s="84" t="s">
        <v>46</v>
      </c>
      <c r="B34" s="218">
        <f>SUM(B28:B33)</f>
        <v>7093</v>
      </c>
      <c r="C34" s="218">
        <f>SUM(C28:C33)</f>
        <v>7763</v>
      </c>
      <c r="D34" s="218">
        <f t="shared" ref="D34:J34" si="3">SUM(D28:D33)</f>
        <v>3772</v>
      </c>
      <c r="E34" s="218">
        <f t="shared" si="3"/>
        <v>4606</v>
      </c>
      <c r="F34" s="218">
        <f t="shared" si="3"/>
        <v>1735</v>
      </c>
      <c r="G34" s="218">
        <f>SUM(G28:G33)</f>
        <v>309</v>
      </c>
      <c r="H34" s="218">
        <f>SUM(H28:H33)</f>
        <v>637</v>
      </c>
      <c r="I34" s="218">
        <f t="shared" si="3"/>
        <v>267</v>
      </c>
      <c r="J34" s="218">
        <f t="shared" si="3"/>
        <v>157</v>
      </c>
      <c r="K34" s="218">
        <f>SUM(K28:K33)</f>
        <v>2296</v>
      </c>
      <c r="L34" s="218">
        <f>SUM(L28:L33)</f>
        <v>2113</v>
      </c>
      <c r="M34" s="218">
        <f>SUM(M28:M33)</f>
        <v>6822</v>
      </c>
      <c r="N34" s="219">
        <f t="shared" si="2"/>
        <v>37570</v>
      </c>
    </row>
    <row r="35" spans="1:14" ht="15.75" thickBot="1">
      <c r="A35" s="6"/>
      <c r="B35" s="182"/>
      <c r="C35" s="182"/>
      <c r="D35" s="182"/>
      <c r="E35" s="182"/>
      <c r="F35" s="182"/>
      <c r="G35" s="182"/>
      <c r="H35" s="182"/>
      <c r="I35" s="182"/>
      <c r="J35" s="182"/>
      <c r="K35" s="182"/>
      <c r="L35" s="182"/>
      <c r="M35" s="182"/>
      <c r="N35" s="182"/>
    </row>
    <row r="36" spans="1:14" ht="15.75" thickBot="1">
      <c r="A36" s="100" t="s">
        <v>142</v>
      </c>
      <c r="B36" s="184" t="s">
        <v>42</v>
      </c>
      <c r="C36" s="184" t="s">
        <v>42</v>
      </c>
      <c r="D36" s="184" t="s">
        <v>42</v>
      </c>
      <c r="E36" s="184" t="s">
        <v>42</v>
      </c>
      <c r="F36" s="184" t="s">
        <v>42</v>
      </c>
      <c r="G36" s="184" t="s">
        <v>42</v>
      </c>
      <c r="H36" s="184" t="s">
        <v>42</v>
      </c>
      <c r="I36" s="184" t="s">
        <v>42</v>
      </c>
      <c r="J36" s="184" t="s">
        <v>42</v>
      </c>
      <c r="K36" s="184" t="s">
        <v>42</v>
      </c>
      <c r="L36" s="184">
        <v>171</v>
      </c>
      <c r="M36" s="184">
        <v>526</v>
      </c>
      <c r="N36" s="253">
        <f>SUM(B36:M36)</f>
        <v>697</v>
      </c>
    </row>
    <row r="37" spans="1:14" ht="15.75" thickBot="1">
      <c r="A37" s="101" t="s">
        <v>141</v>
      </c>
      <c r="B37" s="107">
        <v>13632</v>
      </c>
      <c r="C37" s="107">
        <v>13702</v>
      </c>
      <c r="D37" s="107">
        <v>9071</v>
      </c>
      <c r="E37" s="107">
        <v>4584</v>
      </c>
      <c r="F37" s="107">
        <v>3451</v>
      </c>
      <c r="G37" s="107">
        <v>1361</v>
      </c>
      <c r="H37" s="107">
        <v>109</v>
      </c>
      <c r="I37" s="107">
        <v>17</v>
      </c>
      <c r="J37" s="107">
        <v>920</v>
      </c>
      <c r="K37" s="107">
        <v>7240</v>
      </c>
      <c r="L37" s="107">
        <v>7357</v>
      </c>
      <c r="M37" s="107">
        <v>14689</v>
      </c>
      <c r="N37" s="253">
        <f t="shared" ref="N37:N38" si="4">SUM(B37:M37)</f>
        <v>76133</v>
      </c>
    </row>
    <row r="38" spans="1:14" ht="15.75" thickBot="1">
      <c r="A38" s="294" t="s">
        <v>140</v>
      </c>
      <c r="B38" s="184" t="s">
        <v>42</v>
      </c>
      <c r="C38" s="184" t="s">
        <v>42</v>
      </c>
      <c r="D38" s="184" t="s">
        <v>42</v>
      </c>
      <c r="E38" s="184" t="s">
        <v>42</v>
      </c>
      <c r="F38" s="184" t="s">
        <v>42</v>
      </c>
      <c r="G38" s="184" t="s">
        <v>42</v>
      </c>
      <c r="H38" s="184" t="s">
        <v>42</v>
      </c>
      <c r="I38" s="184" t="s">
        <v>42</v>
      </c>
      <c r="J38" s="293">
        <f>0+33+17</f>
        <v>50</v>
      </c>
      <c r="K38" s="293">
        <f>7+39+14</f>
        <v>60</v>
      </c>
      <c r="L38" s="293">
        <f>86+136+0</f>
        <v>222</v>
      </c>
      <c r="M38" s="293">
        <f>11+271+516</f>
        <v>798</v>
      </c>
      <c r="N38" s="295">
        <f t="shared" si="4"/>
        <v>1130</v>
      </c>
    </row>
    <row r="39" spans="1:14" ht="16.5" thickTop="1" thickBot="1">
      <c r="A39" s="292" t="s">
        <v>20</v>
      </c>
      <c r="B39" s="296">
        <f>SUM(B36:B38)</f>
        <v>13632</v>
      </c>
      <c r="C39" s="296">
        <f t="shared" ref="C39:M39" si="5">SUM(C36:C38)</f>
        <v>13702</v>
      </c>
      <c r="D39" s="296">
        <f t="shared" si="5"/>
        <v>9071</v>
      </c>
      <c r="E39" s="296">
        <f t="shared" si="5"/>
        <v>4584</v>
      </c>
      <c r="F39" s="296">
        <f t="shared" si="5"/>
        <v>3451</v>
      </c>
      <c r="G39" s="296">
        <f t="shared" si="5"/>
        <v>1361</v>
      </c>
      <c r="H39" s="296">
        <f t="shared" si="5"/>
        <v>109</v>
      </c>
      <c r="I39" s="296">
        <f t="shared" si="5"/>
        <v>17</v>
      </c>
      <c r="J39" s="296">
        <f t="shared" si="5"/>
        <v>970</v>
      </c>
      <c r="K39" s="296">
        <f t="shared" si="5"/>
        <v>7300</v>
      </c>
      <c r="L39" s="296">
        <f t="shared" si="5"/>
        <v>7750</v>
      </c>
      <c r="M39" s="296">
        <f t="shared" si="5"/>
        <v>16013</v>
      </c>
      <c r="N39" s="219">
        <f>SUM(B39:M39)</f>
        <v>77960</v>
      </c>
    </row>
    <row r="40" spans="1:14" ht="15.75" thickBot="1">
      <c r="A40" s="17"/>
      <c r="B40" s="159"/>
      <c r="C40" s="159"/>
      <c r="D40" s="159"/>
      <c r="E40" s="159"/>
      <c r="F40" s="159"/>
      <c r="G40" s="159"/>
      <c r="H40" s="159"/>
      <c r="I40" s="159"/>
      <c r="J40" s="159"/>
      <c r="K40" s="159"/>
      <c r="L40" s="159"/>
      <c r="M40" s="159"/>
      <c r="N40" s="159"/>
    </row>
    <row r="41" spans="1:14" ht="15.75" thickBot="1">
      <c r="A41" s="85" t="s">
        <v>61</v>
      </c>
      <c r="B41" s="224">
        <f>B25+B34+B39</f>
        <v>475758</v>
      </c>
      <c r="C41" s="224">
        <f t="shared" ref="C41:N41" si="6">C25+C34+C39</f>
        <v>419595</v>
      </c>
      <c r="D41" s="224">
        <f t="shared" si="6"/>
        <v>327366</v>
      </c>
      <c r="E41" s="224">
        <f t="shared" si="6"/>
        <v>285266</v>
      </c>
      <c r="F41" s="224">
        <f t="shared" si="6"/>
        <v>117603</v>
      </c>
      <c r="G41" s="224">
        <f t="shared" si="6"/>
        <v>59370</v>
      </c>
      <c r="H41" s="224">
        <f t="shared" si="6"/>
        <v>51305</v>
      </c>
      <c r="I41" s="224">
        <f t="shared" si="6"/>
        <v>61093</v>
      </c>
      <c r="J41" s="224">
        <f t="shared" si="6"/>
        <v>115294</v>
      </c>
      <c r="K41" s="224">
        <f t="shared" si="6"/>
        <v>246410</v>
      </c>
      <c r="L41" s="224">
        <f t="shared" si="6"/>
        <v>301304</v>
      </c>
      <c r="M41" s="224">
        <f t="shared" si="6"/>
        <v>486969</v>
      </c>
      <c r="N41" s="224">
        <f t="shared" si="6"/>
        <v>2947333</v>
      </c>
    </row>
    <row r="42" spans="1:14">
      <c r="A42" s="17"/>
      <c r="B42" s="17"/>
      <c r="C42" s="17"/>
      <c r="D42" s="17"/>
      <c r="E42" s="17"/>
      <c r="F42" s="17"/>
      <c r="G42" s="17"/>
      <c r="H42" s="17"/>
      <c r="I42" s="17"/>
      <c r="J42" s="17"/>
      <c r="K42" s="17"/>
      <c r="L42" s="17"/>
      <c r="M42" s="17"/>
      <c r="N42" s="17"/>
    </row>
    <row r="43" spans="1:14">
      <c r="A43" s="17"/>
      <c r="B43" s="17"/>
      <c r="C43" s="17"/>
      <c r="D43" s="17"/>
      <c r="E43" s="17"/>
      <c r="F43" s="17"/>
      <c r="G43" s="17"/>
      <c r="H43" s="17"/>
      <c r="I43" s="17"/>
      <c r="J43" s="17"/>
      <c r="K43" s="17"/>
      <c r="L43" s="17"/>
      <c r="M43" s="17"/>
      <c r="N43" s="17"/>
    </row>
    <row r="44" spans="1:14">
      <c r="I44" s="315"/>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44"/>
  <sheetViews>
    <sheetView workbookViewId="0">
      <selection activeCell="A15" sqref="A15:XFD15"/>
    </sheetView>
  </sheetViews>
  <sheetFormatPr defaultColWidth="8.85546875" defaultRowHeight="15"/>
  <cols>
    <col min="1" max="1" width="26.85546875" customWidth="1"/>
    <col min="14" max="14" width="13.42578125" customWidth="1"/>
  </cols>
  <sheetData>
    <row r="1" spans="1:14" ht="17.25" thickBot="1">
      <c r="A1" s="82" t="s">
        <v>0</v>
      </c>
      <c r="B1" s="90">
        <v>44197</v>
      </c>
      <c r="C1" s="90">
        <v>44228</v>
      </c>
      <c r="D1" s="90">
        <v>44256</v>
      </c>
      <c r="E1" s="90">
        <v>44287</v>
      </c>
      <c r="F1" s="90">
        <v>44317</v>
      </c>
      <c r="G1" s="90">
        <v>44348</v>
      </c>
      <c r="H1" s="90">
        <v>44378</v>
      </c>
      <c r="I1" s="90">
        <v>44409</v>
      </c>
      <c r="J1" s="90">
        <v>44440</v>
      </c>
      <c r="K1" s="90">
        <v>44470</v>
      </c>
      <c r="L1" s="90">
        <v>44501</v>
      </c>
      <c r="M1" s="90">
        <v>44531</v>
      </c>
      <c r="N1" s="9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
      <c r="A4" s="100" t="s">
        <v>91</v>
      </c>
      <c r="B4" s="184">
        <v>149704</v>
      </c>
      <c r="C4" s="184">
        <v>150391</v>
      </c>
      <c r="D4" s="184">
        <v>103945</v>
      </c>
      <c r="E4" s="184">
        <v>77540</v>
      </c>
      <c r="F4" s="184">
        <v>33646</v>
      </c>
      <c r="G4" s="184">
        <v>28103</v>
      </c>
      <c r="H4" s="184">
        <v>23688</v>
      </c>
      <c r="I4" s="184">
        <v>26587</v>
      </c>
      <c r="J4" s="184">
        <v>39845</v>
      </c>
      <c r="K4" s="184">
        <v>79861</v>
      </c>
      <c r="L4" s="184">
        <v>120070</v>
      </c>
      <c r="M4" s="105">
        <v>154181</v>
      </c>
      <c r="N4" s="176">
        <f>SUM(B4:M4)</f>
        <v>987561</v>
      </c>
    </row>
    <row r="5" spans="1:14">
      <c r="A5" s="101" t="s">
        <v>21</v>
      </c>
      <c r="B5" s="178">
        <v>46316</v>
      </c>
      <c r="C5" s="178">
        <v>44808</v>
      </c>
      <c r="D5">
        <v>30916</v>
      </c>
      <c r="E5" s="178">
        <v>24664</v>
      </c>
      <c r="F5" s="178">
        <v>3167</v>
      </c>
      <c r="G5" s="178">
        <v>316</v>
      </c>
      <c r="H5" s="178">
        <v>346</v>
      </c>
      <c r="I5" s="178">
        <v>690</v>
      </c>
      <c r="J5" s="178">
        <v>1557</v>
      </c>
      <c r="K5" s="178">
        <v>20207</v>
      </c>
      <c r="L5" s="178">
        <v>40717</v>
      </c>
      <c r="M5" s="107">
        <v>49932</v>
      </c>
      <c r="N5" s="177">
        <f t="shared" ref="N5:N25" si="0">SUM(B5:M5)</f>
        <v>263636</v>
      </c>
    </row>
    <row r="6" spans="1:14">
      <c r="A6" s="83" t="s">
        <v>92</v>
      </c>
      <c r="B6" s="109">
        <v>1047</v>
      </c>
      <c r="C6" s="109">
        <v>326</v>
      </c>
      <c r="D6" s="178">
        <v>234</v>
      </c>
      <c r="E6" s="109">
        <v>981</v>
      </c>
      <c r="F6" s="109">
        <v>400</v>
      </c>
      <c r="G6" s="110">
        <v>164</v>
      </c>
      <c r="H6" s="109">
        <v>145</v>
      </c>
      <c r="I6" s="109">
        <v>583</v>
      </c>
      <c r="J6" s="109">
        <v>121</v>
      </c>
      <c r="K6" s="178">
        <v>528</v>
      </c>
      <c r="L6" s="178">
        <v>1078</v>
      </c>
      <c r="M6" s="107">
        <v>972</v>
      </c>
      <c r="N6" s="177">
        <f t="shared" si="0"/>
        <v>6579</v>
      </c>
    </row>
    <row r="7" spans="1:14">
      <c r="A7" s="83" t="s">
        <v>2</v>
      </c>
      <c r="B7" s="109">
        <v>8500</v>
      </c>
      <c r="C7" s="109">
        <v>13491</v>
      </c>
      <c r="D7" s="109">
        <v>7090</v>
      </c>
      <c r="E7" s="109">
        <v>5981</v>
      </c>
      <c r="F7" s="109">
        <v>3413</v>
      </c>
      <c r="G7" s="109">
        <v>1123</v>
      </c>
      <c r="H7" s="109">
        <v>501</v>
      </c>
      <c r="I7" s="109">
        <v>1089</v>
      </c>
      <c r="J7" s="109">
        <v>113</v>
      </c>
      <c r="K7" s="178">
        <v>988</v>
      </c>
      <c r="L7" s="178">
        <v>4372</v>
      </c>
      <c r="M7" s="107">
        <v>8533</v>
      </c>
      <c r="N7" s="177">
        <f t="shared" si="0"/>
        <v>55194</v>
      </c>
    </row>
    <row r="8" spans="1:14">
      <c r="A8" s="83" t="s">
        <v>69</v>
      </c>
      <c r="B8" s="109">
        <v>9692</v>
      </c>
      <c r="C8" s="109">
        <v>10494</v>
      </c>
      <c r="D8" s="109">
        <v>8080</v>
      </c>
      <c r="E8" s="109">
        <v>5683</v>
      </c>
      <c r="F8" s="109">
        <v>3826</v>
      </c>
      <c r="G8" s="109">
        <v>709</v>
      </c>
      <c r="H8" s="109">
        <v>335</v>
      </c>
      <c r="I8" s="109">
        <v>689</v>
      </c>
      <c r="J8" s="109">
        <v>405</v>
      </c>
      <c r="K8" s="178">
        <v>625</v>
      </c>
      <c r="L8" s="178">
        <v>6159</v>
      </c>
      <c r="M8" s="107">
        <v>7211</v>
      </c>
      <c r="N8" s="177">
        <f t="shared" si="0"/>
        <v>53908</v>
      </c>
    </row>
    <row r="9" spans="1:14">
      <c r="A9" s="83" t="s">
        <v>70</v>
      </c>
      <c r="B9" s="109">
        <v>453</v>
      </c>
      <c r="C9" s="109">
        <v>453</v>
      </c>
      <c r="D9" s="109">
        <v>369</v>
      </c>
      <c r="E9" s="109">
        <v>1331</v>
      </c>
      <c r="F9" s="109">
        <v>332</v>
      </c>
      <c r="G9" s="109">
        <v>267</v>
      </c>
      <c r="H9" s="109">
        <v>248</v>
      </c>
      <c r="I9" s="109">
        <v>512</v>
      </c>
      <c r="J9" s="109">
        <v>332</v>
      </c>
      <c r="K9" s="178">
        <v>464</v>
      </c>
      <c r="L9" s="178">
        <v>2017</v>
      </c>
      <c r="M9" s="107">
        <v>1500</v>
      </c>
      <c r="N9" s="177">
        <f t="shared" si="0"/>
        <v>8278</v>
      </c>
    </row>
    <row r="10" spans="1:14">
      <c r="A10" s="83" t="s">
        <v>71</v>
      </c>
      <c r="B10" s="109">
        <v>369</v>
      </c>
      <c r="C10" s="109">
        <v>369</v>
      </c>
      <c r="D10" s="109">
        <v>301</v>
      </c>
      <c r="E10" s="109">
        <v>1184</v>
      </c>
      <c r="F10" s="109">
        <v>338</v>
      </c>
      <c r="G10" s="109">
        <v>430</v>
      </c>
      <c r="H10" s="109">
        <v>79</v>
      </c>
      <c r="I10" s="109">
        <v>419</v>
      </c>
      <c r="J10" s="109">
        <v>329</v>
      </c>
      <c r="K10" s="178">
        <v>380</v>
      </c>
      <c r="L10" s="178">
        <v>1606</v>
      </c>
      <c r="M10" s="107">
        <v>1317</v>
      </c>
      <c r="N10" s="177">
        <f t="shared" si="0"/>
        <v>7121</v>
      </c>
    </row>
    <row r="11" spans="1:14">
      <c r="A11" s="83" t="s">
        <v>72</v>
      </c>
      <c r="B11" s="109">
        <v>3781</v>
      </c>
      <c r="C11" s="109">
        <v>1353</v>
      </c>
      <c r="D11" s="109">
        <v>1058</v>
      </c>
      <c r="E11" s="109">
        <v>3553</v>
      </c>
      <c r="F11" s="109">
        <v>709</v>
      </c>
      <c r="G11" s="109">
        <v>571</v>
      </c>
      <c r="H11" s="109">
        <v>520</v>
      </c>
      <c r="I11" s="109">
        <v>1401</v>
      </c>
      <c r="J11" s="109">
        <v>898</v>
      </c>
      <c r="K11" s="178">
        <v>1269</v>
      </c>
      <c r="L11" s="178">
        <v>4904</v>
      </c>
      <c r="M11" s="107">
        <v>3514</v>
      </c>
      <c r="N11" s="177">
        <f t="shared" si="0"/>
        <v>23531</v>
      </c>
    </row>
    <row r="12" spans="1:14">
      <c r="A12" s="83" t="s">
        <v>73</v>
      </c>
      <c r="B12" s="109">
        <v>3072</v>
      </c>
      <c r="C12" s="109">
        <v>3991</v>
      </c>
      <c r="D12" s="109">
        <v>1960</v>
      </c>
      <c r="E12" s="109">
        <v>1852</v>
      </c>
      <c r="F12" s="109">
        <v>1909</v>
      </c>
      <c r="G12" s="109">
        <v>65</v>
      </c>
      <c r="H12" s="109">
        <v>172</v>
      </c>
      <c r="I12" s="109">
        <v>63</v>
      </c>
      <c r="J12" s="109">
        <v>198</v>
      </c>
      <c r="K12" s="178">
        <v>57</v>
      </c>
      <c r="L12" s="178">
        <v>1804</v>
      </c>
      <c r="M12" s="107">
        <v>2569</v>
      </c>
      <c r="N12" s="177">
        <f t="shared" si="0"/>
        <v>17712</v>
      </c>
    </row>
    <row r="13" spans="1:14">
      <c r="A13" s="83" t="s">
        <v>74</v>
      </c>
      <c r="B13" s="109">
        <v>16709</v>
      </c>
      <c r="C13" s="109">
        <v>17112</v>
      </c>
      <c r="D13" s="109">
        <v>15893</v>
      </c>
      <c r="E13" s="109">
        <v>7819</v>
      </c>
      <c r="F13" s="109">
        <v>5090</v>
      </c>
      <c r="G13" s="109">
        <v>2451</v>
      </c>
      <c r="H13" s="109">
        <v>16248</v>
      </c>
      <c r="I13" s="109">
        <v>478</v>
      </c>
      <c r="J13" s="109">
        <v>467</v>
      </c>
      <c r="K13" s="178">
        <v>2155</v>
      </c>
      <c r="L13" s="178">
        <v>4634</v>
      </c>
      <c r="M13" s="107">
        <v>10950</v>
      </c>
      <c r="N13" s="177">
        <f t="shared" si="0"/>
        <v>100006</v>
      </c>
    </row>
    <row r="14" spans="1:14">
      <c r="A14" s="83" t="s">
        <v>75</v>
      </c>
      <c r="B14" s="109">
        <v>9982</v>
      </c>
      <c r="C14" s="109">
        <v>12377</v>
      </c>
      <c r="D14" s="109">
        <v>2656</v>
      </c>
      <c r="E14" s="109">
        <v>5576</v>
      </c>
      <c r="F14" s="109">
        <v>2667</v>
      </c>
      <c r="G14" s="110">
        <v>357</v>
      </c>
      <c r="H14" s="109">
        <v>158</v>
      </c>
      <c r="I14" s="109">
        <v>346</v>
      </c>
      <c r="J14" s="109">
        <v>51</v>
      </c>
      <c r="K14" s="178">
        <v>312</v>
      </c>
      <c r="L14" s="178">
        <v>5346</v>
      </c>
      <c r="M14" s="107">
        <v>7878</v>
      </c>
      <c r="N14" s="177">
        <f t="shared" si="0"/>
        <v>47706</v>
      </c>
    </row>
    <row r="15" spans="1:14">
      <c r="A15" s="83" t="s">
        <v>76</v>
      </c>
      <c r="B15" s="109">
        <v>13313</v>
      </c>
      <c r="C15" s="109">
        <v>16867</v>
      </c>
      <c r="D15" s="109">
        <v>13600</v>
      </c>
      <c r="E15" s="109">
        <v>7695</v>
      </c>
      <c r="F15" s="109">
        <v>1969</v>
      </c>
      <c r="G15" s="110">
        <v>447</v>
      </c>
      <c r="H15" s="109">
        <v>408</v>
      </c>
      <c r="I15" s="109">
        <v>436</v>
      </c>
      <c r="J15" s="109">
        <v>422</v>
      </c>
      <c r="K15" s="178">
        <v>394</v>
      </c>
      <c r="L15" s="178">
        <v>7852</v>
      </c>
      <c r="M15" s="107">
        <v>10427</v>
      </c>
      <c r="N15" s="177">
        <f t="shared" si="0"/>
        <v>73830</v>
      </c>
    </row>
    <row r="16" spans="1:14">
      <c r="A16" s="83" t="s">
        <v>77</v>
      </c>
      <c r="B16" s="109">
        <v>11879</v>
      </c>
      <c r="C16" s="109">
        <v>12233</v>
      </c>
      <c r="D16" s="109">
        <v>8525</v>
      </c>
      <c r="E16" s="109">
        <v>4786</v>
      </c>
      <c r="F16" s="109">
        <v>6024</v>
      </c>
      <c r="G16" s="109">
        <v>594</v>
      </c>
      <c r="H16" s="109">
        <v>298</v>
      </c>
      <c r="I16" s="109">
        <v>323</v>
      </c>
      <c r="J16" s="109">
        <v>850</v>
      </c>
      <c r="K16" s="178">
        <v>1615</v>
      </c>
      <c r="L16" s="178">
        <v>6932</v>
      </c>
      <c r="M16" s="107">
        <v>8741</v>
      </c>
      <c r="N16" s="177">
        <f t="shared" si="0"/>
        <v>62800</v>
      </c>
    </row>
    <row r="17" spans="1:14">
      <c r="A17" s="83" t="s">
        <v>78</v>
      </c>
      <c r="B17" s="109">
        <v>1757</v>
      </c>
      <c r="C17" s="109">
        <v>2251</v>
      </c>
      <c r="D17" s="109">
        <v>1239</v>
      </c>
      <c r="E17" s="109">
        <v>949</v>
      </c>
      <c r="F17" s="109">
        <v>619</v>
      </c>
      <c r="G17" s="109">
        <v>155</v>
      </c>
      <c r="H17" s="109">
        <v>231</v>
      </c>
      <c r="I17" s="109">
        <v>151</v>
      </c>
      <c r="J17" s="109">
        <v>186</v>
      </c>
      <c r="K17" s="178">
        <v>136</v>
      </c>
      <c r="L17" s="178">
        <v>630</v>
      </c>
      <c r="M17" s="107">
        <v>1396</v>
      </c>
      <c r="N17" s="177">
        <f t="shared" si="0"/>
        <v>9700</v>
      </c>
    </row>
    <row r="18" spans="1:14">
      <c r="A18" s="25" t="s">
        <v>79</v>
      </c>
      <c r="B18" s="109">
        <v>13063</v>
      </c>
      <c r="C18" s="109">
        <v>12974</v>
      </c>
      <c r="D18" s="109">
        <v>9149</v>
      </c>
      <c r="E18" s="109">
        <v>6175</v>
      </c>
      <c r="F18" s="109">
        <v>793</v>
      </c>
      <c r="G18" s="109">
        <v>316</v>
      </c>
      <c r="H18" s="109">
        <v>321</v>
      </c>
      <c r="I18" s="109">
        <v>518</v>
      </c>
      <c r="J18" s="109">
        <v>1273</v>
      </c>
      <c r="K18" s="178">
        <v>6302</v>
      </c>
      <c r="L18" s="178">
        <v>10828</v>
      </c>
      <c r="M18" s="107">
        <v>13429</v>
      </c>
      <c r="N18" s="177">
        <f t="shared" si="0"/>
        <v>75141</v>
      </c>
    </row>
    <row r="19" spans="1:14">
      <c r="A19" s="25" t="s">
        <v>80</v>
      </c>
      <c r="B19" s="109">
        <v>2365</v>
      </c>
      <c r="C19" s="109">
        <v>2138</v>
      </c>
      <c r="D19" s="109">
        <v>754</v>
      </c>
      <c r="E19" s="109">
        <v>1048</v>
      </c>
      <c r="F19" s="110">
        <v>42</v>
      </c>
      <c r="G19" s="109">
        <v>59</v>
      </c>
      <c r="H19" s="109">
        <v>40</v>
      </c>
      <c r="I19" s="109">
        <v>44</v>
      </c>
      <c r="J19" s="109">
        <v>36</v>
      </c>
      <c r="K19" s="178">
        <v>789</v>
      </c>
      <c r="L19" s="178">
        <v>1331</v>
      </c>
      <c r="M19" s="107">
        <v>2503</v>
      </c>
      <c r="N19" s="177">
        <f t="shared" si="0"/>
        <v>11149</v>
      </c>
    </row>
    <row r="20" spans="1:14">
      <c r="A20" s="25" t="s">
        <v>81</v>
      </c>
      <c r="B20" s="109">
        <v>40550</v>
      </c>
      <c r="C20" s="109">
        <v>39177</v>
      </c>
      <c r="D20" s="109">
        <v>27404</v>
      </c>
      <c r="E20" s="109">
        <v>19076</v>
      </c>
      <c r="F20" s="109">
        <v>3501</v>
      </c>
      <c r="G20" s="109">
        <v>807</v>
      </c>
      <c r="H20" s="109">
        <v>713</v>
      </c>
      <c r="I20" s="109">
        <v>1408</v>
      </c>
      <c r="J20" s="109">
        <v>3431</v>
      </c>
      <c r="K20" s="178">
        <v>17885</v>
      </c>
      <c r="L20" s="178">
        <v>31814</v>
      </c>
      <c r="M20" s="107">
        <v>40041</v>
      </c>
      <c r="N20" s="177">
        <f t="shared" si="0"/>
        <v>225807</v>
      </c>
    </row>
    <row r="21" spans="1:14">
      <c r="A21" s="25" t="s">
        <v>23</v>
      </c>
      <c r="B21" s="109">
        <v>41600</v>
      </c>
      <c r="C21" s="109">
        <v>46821</v>
      </c>
      <c r="D21" s="109">
        <v>34220</v>
      </c>
      <c r="E21" s="109">
        <v>18379</v>
      </c>
      <c r="F21" s="109">
        <v>13376</v>
      </c>
      <c r="G21" s="109">
        <v>16866</v>
      </c>
      <c r="H21" s="109">
        <v>7040</v>
      </c>
      <c r="I21" s="109">
        <v>7518</v>
      </c>
      <c r="J21" s="109">
        <v>8300</v>
      </c>
      <c r="K21" s="178">
        <v>18597</v>
      </c>
      <c r="L21" s="178">
        <v>30200</v>
      </c>
      <c r="M21" s="107">
        <v>42467</v>
      </c>
      <c r="N21" s="177">
        <f t="shared" si="0"/>
        <v>285384</v>
      </c>
    </row>
    <row r="22" spans="1:14">
      <c r="A22" s="25" t="s">
        <v>82</v>
      </c>
      <c r="B22" s="109">
        <v>54291</v>
      </c>
      <c r="C22" s="109">
        <v>54263</v>
      </c>
      <c r="D22" s="109">
        <v>37950</v>
      </c>
      <c r="E22" s="109">
        <v>31690</v>
      </c>
      <c r="F22" s="109">
        <v>19519</v>
      </c>
      <c r="G22" s="109">
        <v>15540</v>
      </c>
      <c r="H22" s="109">
        <v>14428</v>
      </c>
      <c r="I22" s="109">
        <v>17254</v>
      </c>
      <c r="J22" s="109">
        <v>21226</v>
      </c>
      <c r="K22" s="178">
        <v>30648</v>
      </c>
      <c r="L22" s="178">
        <v>44483</v>
      </c>
      <c r="M22" s="107">
        <v>55395</v>
      </c>
      <c r="N22" s="177">
        <f t="shared" si="0"/>
        <v>396687</v>
      </c>
    </row>
    <row r="23" spans="1:14">
      <c r="A23" s="104" t="s">
        <v>24</v>
      </c>
      <c r="B23" s="109">
        <v>18903</v>
      </c>
      <c r="C23" s="109">
        <v>18921</v>
      </c>
      <c r="D23" s="109">
        <v>16214</v>
      </c>
      <c r="E23" s="109">
        <v>12285</v>
      </c>
      <c r="F23" s="109">
        <v>9019</v>
      </c>
      <c r="G23" s="109">
        <v>11372</v>
      </c>
      <c r="H23" s="109">
        <v>10248</v>
      </c>
      <c r="I23" s="109">
        <v>10346</v>
      </c>
      <c r="J23" s="109">
        <v>10471</v>
      </c>
      <c r="K23" s="178">
        <v>10346</v>
      </c>
      <c r="L23" s="178">
        <v>15803</v>
      </c>
      <c r="M23" s="107">
        <v>20654</v>
      </c>
      <c r="N23" s="177">
        <f t="shared" si="0"/>
        <v>164582</v>
      </c>
    </row>
    <row r="24" spans="1:14" ht="15.75" thickBot="1">
      <c r="A24" s="104" t="s">
        <v>25</v>
      </c>
      <c r="B24" s="223">
        <v>11595</v>
      </c>
      <c r="C24" s="223">
        <v>12209</v>
      </c>
      <c r="D24" s="223">
        <v>9694</v>
      </c>
      <c r="E24" s="223">
        <v>6235</v>
      </c>
      <c r="F24" s="223">
        <v>2575</v>
      </c>
      <c r="G24" s="223">
        <v>272</v>
      </c>
      <c r="H24" s="223">
        <v>125</v>
      </c>
      <c r="I24" s="223">
        <v>133</v>
      </c>
      <c r="J24" s="223">
        <v>130</v>
      </c>
      <c r="K24" s="179">
        <v>6547</v>
      </c>
      <c r="L24" s="179">
        <v>7260</v>
      </c>
      <c r="M24" s="156">
        <v>10538</v>
      </c>
      <c r="N24" s="180">
        <f t="shared" si="0"/>
        <v>67313</v>
      </c>
    </row>
    <row r="25" spans="1:14" ht="16.5" thickTop="1" thickBot="1">
      <c r="A25" s="84" t="s">
        <v>45</v>
      </c>
      <c r="B25" s="218">
        <f t="shared" ref="B25:M25" si="1">SUM(B4:B24)</f>
        <v>458941</v>
      </c>
      <c r="C25" s="218">
        <f t="shared" si="1"/>
        <v>473019</v>
      </c>
      <c r="D25" s="218">
        <f t="shared" si="1"/>
        <v>331251</v>
      </c>
      <c r="E25" s="218">
        <f t="shared" si="1"/>
        <v>244482</v>
      </c>
      <c r="F25" s="218">
        <f t="shared" si="1"/>
        <v>112934</v>
      </c>
      <c r="G25" s="218">
        <f t="shared" si="1"/>
        <v>80984</v>
      </c>
      <c r="H25" s="218">
        <f t="shared" si="1"/>
        <v>76292</v>
      </c>
      <c r="I25" s="218">
        <f t="shared" si="1"/>
        <v>70988</v>
      </c>
      <c r="J25" s="218">
        <f t="shared" si="1"/>
        <v>90641</v>
      </c>
      <c r="K25" s="218">
        <f t="shared" si="1"/>
        <v>200105</v>
      </c>
      <c r="L25" s="218">
        <f t="shared" si="1"/>
        <v>349840</v>
      </c>
      <c r="M25" s="218">
        <f t="shared" si="1"/>
        <v>454148</v>
      </c>
      <c r="N25" s="219">
        <f t="shared" si="0"/>
        <v>2943625</v>
      </c>
    </row>
    <row r="26" spans="1:14">
      <c r="A26" s="6"/>
      <c r="B26" s="182"/>
      <c r="C26" s="182"/>
      <c r="D26" s="182"/>
      <c r="E26" s="182"/>
      <c r="F26" s="182"/>
      <c r="G26" s="182"/>
      <c r="H26" s="182"/>
      <c r="I26" s="182"/>
      <c r="J26" s="182"/>
      <c r="K26" s="182"/>
      <c r="L26" s="182"/>
      <c r="M26" s="182"/>
      <c r="N26" s="182"/>
    </row>
    <row r="27" spans="1:14" ht="15.75" thickBot="1">
      <c r="A27" s="6" t="s">
        <v>15</v>
      </c>
      <c r="B27" s="182"/>
      <c r="C27" s="182"/>
      <c r="D27" s="182"/>
      <c r="E27" s="182"/>
      <c r="F27" s="182"/>
      <c r="G27" s="182"/>
      <c r="H27" s="182"/>
      <c r="I27" s="182"/>
      <c r="J27" s="182"/>
      <c r="K27" s="182"/>
      <c r="L27" s="182"/>
      <c r="M27" s="182"/>
      <c r="N27" s="182"/>
    </row>
    <row r="28" spans="1:14">
      <c r="A28" s="5" t="s">
        <v>85</v>
      </c>
      <c r="B28" s="222">
        <v>1432</v>
      </c>
      <c r="C28" s="222">
        <v>2362</v>
      </c>
      <c r="D28" s="222">
        <v>1152</v>
      </c>
      <c r="E28" s="222">
        <v>1023</v>
      </c>
      <c r="F28" s="222">
        <v>656</v>
      </c>
      <c r="G28" s="236">
        <v>48</v>
      </c>
      <c r="H28" s="222">
        <v>132</v>
      </c>
      <c r="I28" s="222">
        <v>0</v>
      </c>
      <c r="J28" s="222">
        <v>0</v>
      </c>
      <c r="K28" s="184">
        <v>42</v>
      </c>
      <c r="L28" s="184">
        <v>1273</v>
      </c>
      <c r="M28" s="105">
        <v>1602</v>
      </c>
      <c r="N28" s="176">
        <f>SUM(B28:M28)</f>
        <v>9722</v>
      </c>
    </row>
    <row r="29" spans="1:14">
      <c r="A29" s="3" t="s">
        <v>86</v>
      </c>
      <c r="B29" s="107">
        <v>956</v>
      </c>
      <c r="C29" s="109">
        <v>1165</v>
      </c>
      <c r="D29" s="109">
        <v>781</v>
      </c>
      <c r="E29" s="109">
        <v>451</v>
      </c>
      <c r="F29" s="110">
        <v>331</v>
      </c>
      <c r="G29" s="107">
        <v>14</v>
      </c>
      <c r="H29" s="107">
        <v>19</v>
      </c>
      <c r="I29" s="109">
        <v>3</v>
      </c>
      <c r="J29" s="109">
        <v>3</v>
      </c>
      <c r="K29" s="178">
        <v>12</v>
      </c>
      <c r="L29" s="178">
        <v>359</v>
      </c>
      <c r="M29" s="107">
        <v>761</v>
      </c>
      <c r="N29" s="177">
        <f t="shared" ref="N29:N34" si="2">SUM(B29:M29)</f>
        <v>4855</v>
      </c>
    </row>
    <row r="30" spans="1:14">
      <c r="A30" s="3" t="s">
        <v>87</v>
      </c>
      <c r="B30" s="109">
        <v>813</v>
      </c>
      <c r="C30" s="109">
        <v>3095</v>
      </c>
      <c r="D30" s="109">
        <v>611</v>
      </c>
      <c r="E30" s="109">
        <v>1289</v>
      </c>
      <c r="F30" s="109">
        <v>416</v>
      </c>
      <c r="G30" s="110">
        <v>11</v>
      </c>
      <c r="H30" s="109">
        <v>17</v>
      </c>
      <c r="I30" s="109">
        <v>0</v>
      </c>
      <c r="J30" s="109">
        <v>0</v>
      </c>
      <c r="K30" s="178">
        <v>8</v>
      </c>
      <c r="L30" s="178">
        <v>1083</v>
      </c>
      <c r="M30" s="107">
        <v>2141</v>
      </c>
      <c r="N30" s="177">
        <f t="shared" si="2"/>
        <v>9484</v>
      </c>
    </row>
    <row r="31" spans="1:14">
      <c r="A31" s="3" t="s">
        <v>88</v>
      </c>
      <c r="B31" s="109">
        <v>1175</v>
      </c>
      <c r="C31" s="289">
        <v>2191</v>
      </c>
      <c r="D31" s="109">
        <v>901</v>
      </c>
      <c r="E31" s="109">
        <v>861</v>
      </c>
      <c r="F31" s="109">
        <v>311</v>
      </c>
      <c r="G31" s="110">
        <v>3</v>
      </c>
      <c r="H31" s="109">
        <v>43</v>
      </c>
      <c r="I31" s="109">
        <v>0</v>
      </c>
      <c r="J31" s="109">
        <v>1</v>
      </c>
      <c r="K31" s="178">
        <v>2</v>
      </c>
      <c r="L31" s="178">
        <v>867</v>
      </c>
      <c r="M31" s="107">
        <v>1438</v>
      </c>
      <c r="N31" s="177">
        <f t="shared" si="2"/>
        <v>7793</v>
      </c>
    </row>
    <row r="32" spans="1:14">
      <c r="A32" s="3" t="s">
        <v>89</v>
      </c>
      <c r="B32" s="109">
        <v>532</v>
      </c>
      <c r="C32" s="109">
        <v>1047</v>
      </c>
      <c r="D32" s="109">
        <v>365</v>
      </c>
      <c r="E32" s="109">
        <v>407</v>
      </c>
      <c r="F32" s="109">
        <v>212</v>
      </c>
      <c r="G32" s="110">
        <v>16</v>
      </c>
      <c r="H32" s="109">
        <v>38</v>
      </c>
      <c r="I32" s="109">
        <v>15</v>
      </c>
      <c r="J32" s="109">
        <v>23</v>
      </c>
      <c r="K32" s="178">
        <v>14</v>
      </c>
      <c r="L32" s="178">
        <v>390</v>
      </c>
      <c r="M32" s="107">
        <v>685</v>
      </c>
      <c r="N32" s="177">
        <f t="shared" si="2"/>
        <v>3744</v>
      </c>
    </row>
    <row r="33" spans="1:14" ht="15.75" thickBot="1">
      <c r="A33" s="3" t="s">
        <v>90</v>
      </c>
      <c r="B33" s="223">
        <v>353</v>
      </c>
      <c r="C33" s="223">
        <v>117</v>
      </c>
      <c r="D33" s="223">
        <v>93</v>
      </c>
      <c r="E33" s="223">
        <v>350</v>
      </c>
      <c r="F33" s="223">
        <v>181</v>
      </c>
      <c r="G33" s="237">
        <v>231</v>
      </c>
      <c r="H33" s="223">
        <v>181</v>
      </c>
      <c r="I33" s="223">
        <v>218</v>
      </c>
      <c r="J33" s="223">
        <v>215</v>
      </c>
      <c r="K33" s="179">
        <v>204</v>
      </c>
      <c r="L33" s="179">
        <v>235</v>
      </c>
      <c r="M33" s="156">
        <v>371</v>
      </c>
      <c r="N33" s="180">
        <f t="shared" si="2"/>
        <v>2749</v>
      </c>
    </row>
    <row r="34" spans="1:14" ht="16.5" thickTop="1" thickBot="1">
      <c r="A34" s="84" t="s">
        <v>46</v>
      </c>
      <c r="B34" s="218">
        <f>SUM(B28:B33)</f>
        <v>5261</v>
      </c>
      <c r="C34" s="218">
        <f>SUM(C28:C33)</f>
        <v>9977</v>
      </c>
      <c r="D34" s="218">
        <f t="shared" ref="D34" si="3">SUM(D28:D33)</f>
        <v>3903</v>
      </c>
      <c r="E34" s="218">
        <f>SUM(E28:E33)</f>
        <v>4381</v>
      </c>
      <c r="F34" s="218"/>
      <c r="G34" s="218">
        <v>51</v>
      </c>
      <c r="H34" s="218">
        <v>4</v>
      </c>
      <c r="I34" s="218">
        <v>2</v>
      </c>
      <c r="J34" s="218">
        <v>12</v>
      </c>
      <c r="K34" s="218">
        <v>2</v>
      </c>
      <c r="L34" s="218">
        <v>193</v>
      </c>
      <c r="M34" s="218">
        <v>251</v>
      </c>
      <c r="N34" s="219">
        <f t="shared" si="2"/>
        <v>24037</v>
      </c>
    </row>
    <row r="35" spans="1:14" ht="15.75" thickBot="1">
      <c r="A35" s="6"/>
      <c r="B35" s="182"/>
      <c r="C35" s="182"/>
      <c r="D35" s="182"/>
      <c r="E35" s="182"/>
      <c r="F35" s="182"/>
      <c r="G35" s="182"/>
      <c r="H35" s="182"/>
      <c r="I35" s="182"/>
      <c r="J35" s="182"/>
      <c r="K35" s="182"/>
      <c r="L35" s="182"/>
      <c r="M35" s="182"/>
      <c r="N35" s="182"/>
    </row>
    <row r="36" spans="1:14">
      <c r="A36" s="100" t="s">
        <v>142</v>
      </c>
      <c r="B36" s="184">
        <v>475</v>
      </c>
      <c r="C36" s="184">
        <v>488</v>
      </c>
      <c r="D36" s="184">
        <v>332</v>
      </c>
      <c r="E36" s="184">
        <v>244</v>
      </c>
      <c r="F36" s="184"/>
      <c r="G36" s="184"/>
      <c r="H36" s="184"/>
      <c r="I36" s="184"/>
      <c r="J36" s="184"/>
      <c r="K36" s="184"/>
      <c r="L36" s="184"/>
      <c r="M36" s="184">
        <v>9994</v>
      </c>
      <c r="N36" s="253"/>
    </row>
    <row r="37" spans="1:14">
      <c r="A37" s="101" t="s">
        <v>141</v>
      </c>
      <c r="B37" s="107">
        <v>14777</v>
      </c>
      <c r="C37" s="107">
        <v>16174</v>
      </c>
      <c r="D37" s="107">
        <v>10973</v>
      </c>
      <c r="E37" s="107">
        <v>7411</v>
      </c>
      <c r="F37" s="178">
        <v>1344</v>
      </c>
      <c r="G37" s="178">
        <v>1389</v>
      </c>
      <c r="H37" s="178">
        <v>1301</v>
      </c>
      <c r="I37" s="178">
        <v>1034</v>
      </c>
      <c r="J37" s="178">
        <v>1432</v>
      </c>
      <c r="K37" s="178">
        <v>4746</v>
      </c>
      <c r="L37" s="178">
        <v>9860</v>
      </c>
      <c r="M37" s="178">
        <v>13234</v>
      </c>
      <c r="N37" s="254"/>
    </row>
    <row r="38" spans="1:14" ht="15.75" thickBot="1">
      <c r="A38" s="294" t="s">
        <v>140</v>
      </c>
      <c r="B38" s="156">
        <f>216+238+215</f>
        <v>669</v>
      </c>
      <c r="C38" s="156">
        <f>281+32+510</f>
        <v>823</v>
      </c>
      <c r="D38" s="156">
        <f>126+189+139</f>
        <v>454</v>
      </c>
      <c r="E38" s="156">
        <f>305+161+117</f>
        <v>583</v>
      </c>
      <c r="F38" s="156">
        <v>131</v>
      </c>
      <c r="G38" s="156">
        <v>183</v>
      </c>
      <c r="H38" s="156">
        <v>76</v>
      </c>
      <c r="I38" s="156">
        <v>103</v>
      </c>
      <c r="J38" s="156">
        <v>66</v>
      </c>
      <c r="K38" s="156">
        <v>237</v>
      </c>
      <c r="L38" s="156">
        <v>936</v>
      </c>
      <c r="M38" s="156">
        <v>1324</v>
      </c>
      <c r="N38" s="297"/>
    </row>
    <row r="39" spans="1:14" s="291" customFormat="1" ht="16.5" thickTop="1" thickBot="1">
      <c r="A39" s="292" t="s">
        <v>20</v>
      </c>
      <c r="B39" s="296">
        <f>SUM(B36:B38)</f>
        <v>15921</v>
      </c>
      <c r="C39" s="296">
        <f t="shared" ref="C39:N39" si="4">SUM(C36:C38)</f>
        <v>17485</v>
      </c>
      <c r="D39" s="296">
        <f t="shared" si="4"/>
        <v>11759</v>
      </c>
      <c r="E39" s="296">
        <f t="shared" si="4"/>
        <v>8238</v>
      </c>
      <c r="F39" s="296">
        <f t="shared" si="4"/>
        <v>1475</v>
      </c>
      <c r="G39" s="296">
        <f t="shared" si="4"/>
        <v>1572</v>
      </c>
      <c r="H39" s="296">
        <f t="shared" si="4"/>
        <v>1377</v>
      </c>
      <c r="I39" s="296">
        <f t="shared" si="4"/>
        <v>1137</v>
      </c>
      <c r="J39" s="296">
        <f t="shared" si="4"/>
        <v>1498</v>
      </c>
      <c r="K39" s="296">
        <f t="shared" si="4"/>
        <v>4983</v>
      </c>
      <c r="L39" s="296">
        <f t="shared" si="4"/>
        <v>10796</v>
      </c>
      <c r="M39" s="296">
        <f t="shared" si="4"/>
        <v>24552</v>
      </c>
      <c r="N39" s="298">
        <f t="shared" si="4"/>
        <v>0</v>
      </c>
    </row>
    <row r="41" spans="1:14" ht="15.75" thickBot="1">
      <c r="A41" s="17"/>
      <c r="B41" s="159"/>
      <c r="C41" s="159"/>
      <c r="D41" s="159"/>
      <c r="E41" s="159"/>
      <c r="F41" s="159"/>
      <c r="G41" s="159"/>
      <c r="H41" s="159"/>
      <c r="I41" s="159"/>
      <c r="J41" s="159"/>
      <c r="K41" s="159"/>
      <c r="L41" s="159"/>
      <c r="M41" s="159"/>
      <c r="N41" s="159"/>
    </row>
    <row r="42" spans="1:14" ht="15.75" thickBot="1">
      <c r="A42" s="85" t="s">
        <v>61</v>
      </c>
      <c r="B42" s="224">
        <f>B25+B34+B39</f>
        <v>480123</v>
      </c>
      <c r="C42" s="224">
        <f t="shared" ref="C42:N42" si="5">C25+C34+C39</f>
        <v>500481</v>
      </c>
      <c r="D42" s="224">
        <f t="shared" si="5"/>
        <v>346913</v>
      </c>
      <c r="E42" s="224">
        <f t="shared" si="5"/>
        <v>257101</v>
      </c>
      <c r="F42" s="224">
        <f t="shared" si="5"/>
        <v>114409</v>
      </c>
      <c r="G42" s="224">
        <f t="shared" si="5"/>
        <v>82607</v>
      </c>
      <c r="H42" s="224">
        <f t="shared" si="5"/>
        <v>77673</v>
      </c>
      <c r="I42" s="224">
        <f t="shared" si="5"/>
        <v>72127</v>
      </c>
      <c r="J42" s="224">
        <f t="shared" si="5"/>
        <v>92151</v>
      </c>
      <c r="K42" s="224">
        <f t="shared" si="5"/>
        <v>205090</v>
      </c>
      <c r="L42" s="224">
        <f t="shared" si="5"/>
        <v>360829</v>
      </c>
      <c r="M42" s="224">
        <f t="shared" si="5"/>
        <v>478951</v>
      </c>
      <c r="N42" s="224">
        <f t="shared" si="5"/>
        <v>2967662</v>
      </c>
    </row>
    <row r="43" spans="1:14">
      <c r="A43" s="17"/>
      <c r="B43" s="17"/>
      <c r="C43" s="17"/>
      <c r="D43" s="17"/>
      <c r="E43" s="17"/>
      <c r="F43" s="17"/>
      <c r="G43" s="17"/>
      <c r="H43" s="17"/>
      <c r="I43" s="17"/>
      <c r="J43" s="17"/>
      <c r="K43" s="17"/>
      <c r="L43" s="17"/>
      <c r="M43" s="17"/>
      <c r="N43" s="17"/>
    </row>
    <row r="44" spans="1:14">
      <c r="A44" s="17"/>
      <c r="B44" s="17"/>
      <c r="C44" s="17"/>
      <c r="D44" s="17"/>
      <c r="E44" s="17"/>
      <c r="F44" s="17"/>
      <c r="G44" s="17"/>
      <c r="H44" s="17"/>
      <c r="I44" s="17"/>
      <c r="J44" s="17"/>
      <c r="K44" s="17"/>
      <c r="L44" s="17"/>
      <c r="M44" s="17"/>
      <c r="N44" s="17"/>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4"/>
  <sheetViews>
    <sheetView topLeftCell="A34" workbookViewId="0">
      <selection activeCell="N44" sqref="N44"/>
    </sheetView>
  </sheetViews>
  <sheetFormatPr defaultRowHeight="15"/>
  <cols>
    <col min="1" max="1" width="35.85546875" customWidth="1"/>
    <col min="14" max="14" width="11.28515625" customWidth="1"/>
  </cols>
  <sheetData>
    <row r="1" spans="1:14" ht="15.75" thickBot="1">
      <c r="A1" s="82" t="s">
        <v>0</v>
      </c>
      <c r="B1" s="90">
        <v>44562</v>
      </c>
      <c r="C1" s="90">
        <v>44593</v>
      </c>
      <c r="D1" s="90">
        <v>44621</v>
      </c>
      <c r="E1" s="90">
        <v>44652</v>
      </c>
      <c r="F1" s="90">
        <v>44682</v>
      </c>
      <c r="G1" s="90">
        <v>44713</v>
      </c>
      <c r="H1" s="90">
        <v>44743</v>
      </c>
      <c r="I1" s="90">
        <v>44774</v>
      </c>
      <c r="J1" s="90">
        <v>44805</v>
      </c>
      <c r="K1" s="90">
        <v>44835</v>
      </c>
      <c r="L1" s="90">
        <v>44866</v>
      </c>
      <c r="M1" s="90">
        <v>44896</v>
      </c>
      <c r="N1" s="90" t="s">
        <v>151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ht="30.75" thickBot="1">
      <c r="A4" s="100" t="s">
        <v>91</v>
      </c>
      <c r="B4" s="184">
        <v>157821</v>
      </c>
      <c r="C4" s="184">
        <v>142455</v>
      </c>
      <c r="D4" s="184">
        <v>113759</v>
      </c>
      <c r="E4" s="184">
        <v>69497</v>
      </c>
      <c r="F4" s="184">
        <v>42212</v>
      </c>
      <c r="G4" s="184">
        <v>42706</v>
      </c>
      <c r="H4" s="184">
        <v>27331</v>
      </c>
      <c r="I4" s="184">
        <v>31880</v>
      </c>
      <c r="J4" s="184">
        <v>57497</v>
      </c>
      <c r="K4" s="184">
        <v>72298</v>
      </c>
      <c r="L4" s="184">
        <v>125134</v>
      </c>
      <c r="M4" s="105">
        <v>137399</v>
      </c>
      <c r="N4" s="176">
        <f>SUM(B4:M4)</f>
        <v>1019989</v>
      </c>
    </row>
    <row r="5" spans="1:14" ht="15.75" thickBot="1">
      <c r="A5" s="101" t="s">
        <v>21</v>
      </c>
      <c r="B5" s="178">
        <v>44198</v>
      </c>
      <c r="C5" s="178">
        <v>46838</v>
      </c>
      <c r="D5">
        <v>37930</v>
      </c>
      <c r="E5" s="178">
        <v>20129</v>
      </c>
      <c r="F5" s="178">
        <v>1507</v>
      </c>
      <c r="G5" s="178">
        <v>836</v>
      </c>
      <c r="H5" s="178">
        <v>398</v>
      </c>
      <c r="I5" s="178">
        <v>1280</v>
      </c>
      <c r="J5" s="178">
        <v>5025</v>
      </c>
      <c r="K5" s="178">
        <v>20542</v>
      </c>
      <c r="L5" s="178">
        <v>38512</v>
      </c>
      <c r="M5" s="107">
        <v>45092</v>
      </c>
      <c r="N5" s="176">
        <f t="shared" ref="N5:N24" si="0">SUM(B5:M5)</f>
        <v>262287</v>
      </c>
    </row>
    <row r="6" spans="1:14" ht="15.75" thickBot="1">
      <c r="A6" s="83" t="s">
        <v>92</v>
      </c>
      <c r="B6" s="109">
        <v>496</v>
      </c>
      <c r="C6" s="109">
        <v>1049</v>
      </c>
      <c r="D6" s="178">
        <v>505</v>
      </c>
      <c r="E6" s="109">
        <v>751</v>
      </c>
      <c r="F6" s="109">
        <v>489</v>
      </c>
      <c r="G6" s="110">
        <v>390</v>
      </c>
      <c r="H6" s="109">
        <v>44</v>
      </c>
      <c r="I6" s="109">
        <v>417</v>
      </c>
      <c r="J6" s="109">
        <v>726</v>
      </c>
      <c r="K6" s="178">
        <v>774</v>
      </c>
      <c r="L6" s="178">
        <v>1312</v>
      </c>
      <c r="M6" s="107">
        <v>793</v>
      </c>
      <c r="N6" s="176">
        <f t="shared" si="0"/>
        <v>7746</v>
      </c>
    </row>
    <row r="7" spans="1:14" ht="15.75" thickBot="1">
      <c r="A7" s="83" t="s">
        <v>2</v>
      </c>
      <c r="B7" s="109">
        <v>7836</v>
      </c>
      <c r="C7" s="109">
        <v>14172</v>
      </c>
      <c r="D7" s="109">
        <v>9993</v>
      </c>
      <c r="E7" s="109">
        <v>5970</v>
      </c>
      <c r="F7" s="109">
        <v>5891</v>
      </c>
      <c r="G7" s="109">
        <v>799</v>
      </c>
      <c r="H7" s="109">
        <v>2512</v>
      </c>
      <c r="I7" s="109">
        <v>849</v>
      </c>
      <c r="J7" s="109">
        <v>957</v>
      </c>
      <c r="K7" s="178">
        <v>2943</v>
      </c>
      <c r="L7" s="178">
        <v>3537</v>
      </c>
      <c r="M7" s="107">
        <v>8269</v>
      </c>
      <c r="N7" s="176">
        <f t="shared" si="0"/>
        <v>63728</v>
      </c>
    </row>
    <row r="8" spans="1:14" ht="15.75" thickBot="1">
      <c r="A8" s="83" t="s">
        <v>69</v>
      </c>
      <c r="B8" s="109">
        <v>9152</v>
      </c>
      <c r="C8" s="109">
        <v>10793</v>
      </c>
      <c r="D8" s="109">
        <v>8255</v>
      </c>
      <c r="E8" s="109">
        <v>6007</v>
      </c>
      <c r="F8" s="109">
        <v>5185</v>
      </c>
      <c r="G8" s="109">
        <v>647</v>
      </c>
      <c r="H8" s="109">
        <v>166</v>
      </c>
      <c r="I8" s="109">
        <v>689</v>
      </c>
      <c r="J8" s="109">
        <v>335</v>
      </c>
      <c r="K8" s="178">
        <v>3753</v>
      </c>
      <c r="L8" s="178">
        <v>3131</v>
      </c>
      <c r="M8" s="107">
        <v>7836</v>
      </c>
      <c r="N8" s="176">
        <f t="shared" si="0"/>
        <v>55949</v>
      </c>
    </row>
    <row r="9" spans="1:14" ht="15.75" thickBot="1">
      <c r="A9" s="83" t="s">
        <v>70</v>
      </c>
      <c r="B9" s="109">
        <v>951</v>
      </c>
      <c r="C9" s="109">
        <v>1964</v>
      </c>
      <c r="D9" s="109">
        <v>1581</v>
      </c>
      <c r="E9" s="109">
        <v>1111</v>
      </c>
      <c r="F9" s="109">
        <v>1606</v>
      </c>
      <c r="G9" s="109">
        <v>369</v>
      </c>
      <c r="H9" s="109">
        <v>121</v>
      </c>
      <c r="I9" s="109">
        <v>394</v>
      </c>
      <c r="J9" s="109">
        <v>340</v>
      </c>
      <c r="K9" s="178">
        <v>1010</v>
      </c>
      <c r="L9" s="178">
        <v>1606</v>
      </c>
      <c r="M9" s="107">
        <v>1258</v>
      </c>
      <c r="N9" s="176">
        <f t="shared" si="0"/>
        <v>12311</v>
      </c>
    </row>
    <row r="10" spans="1:14" ht="15.75" thickBot="1">
      <c r="A10" s="83" t="s">
        <v>71</v>
      </c>
      <c r="B10" s="109">
        <v>672</v>
      </c>
      <c r="C10" s="109">
        <v>1697</v>
      </c>
      <c r="D10" s="109">
        <v>1263</v>
      </c>
      <c r="E10" s="109">
        <v>1055</v>
      </c>
      <c r="F10" s="109">
        <v>1283</v>
      </c>
      <c r="G10" s="109">
        <v>326</v>
      </c>
      <c r="H10" s="109">
        <v>163</v>
      </c>
      <c r="I10" s="109">
        <v>349</v>
      </c>
      <c r="J10" s="109">
        <v>473</v>
      </c>
      <c r="K10" s="178">
        <v>937</v>
      </c>
      <c r="L10" s="178">
        <v>1086</v>
      </c>
      <c r="M10" s="107">
        <v>1207</v>
      </c>
      <c r="N10" s="176">
        <f t="shared" si="0"/>
        <v>10511</v>
      </c>
    </row>
    <row r="11" spans="1:14" ht="15.75" thickBot="1">
      <c r="A11" s="83" t="s">
        <v>72</v>
      </c>
      <c r="B11" s="109">
        <v>1576</v>
      </c>
      <c r="C11" s="109">
        <v>3779</v>
      </c>
      <c r="D11" s="109">
        <v>2889</v>
      </c>
      <c r="E11" s="109">
        <v>2428</v>
      </c>
      <c r="F11" s="109">
        <v>2071</v>
      </c>
      <c r="G11" s="109">
        <v>1128</v>
      </c>
      <c r="H11" s="109">
        <v>1235</v>
      </c>
      <c r="I11" s="109">
        <v>1199</v>
      </c>
      <c r="J11" s="109">
        <v>1106</v>
      </c>
      <c r="K11" s="178">
        <v>2546</v>
      </c>
      <c r="L11" s="178">
        <v>3961</v>
      </c>
      <c r="M11" s="107">
        <v>2541</v>
      </c>
      <c r="N11" s="176">
        <f t="shared" si="0"/>
        <v>26459</v>
      </c>
    </row>
    <row r="12" spans="1:14" ht="15.75" thickBot="1">
      <c r="A12" s="83" t="s">
        <v>73</v>
      </c>
      <c r="B12" s="109">
        <v>3587</v>
      </c>
      <c r="C12" s="109">
        <v>4174</v>
      </c>
      <c r="D12" s="109">
        <v>2634</v>
      </c>
      <c r="E12" s="109">
        <v>2042</v>
      </c>
      <c r="F12" s="109">
        <v>2303</v>
      </c>
      <c r="G12" s="109">
        <v>93</v>
      </c>
      <c r="H12" s="109">
        <v>681</v>
      </c>
      <c r="I12" s="109">
        <v>99</v>
      </c>
      <c r="J12" s="109">
        <v>144</v>
      </c>
      <c r="K12" s="178">
        <v>1257</v>
      </c>
      <c r="L12" s="178">
        <v>998</v>
      </c>
      <c r="M12" s="107">
        <v>2675</v>
      </c>
      <c r="N12" s="176">
        <f t="shared" si="0"/>
        <v>20687</v>
      </c>
    </row>
    <row r="13" spans="1:14" ht="15.75" thickBot="1">
      <c r="A13" s="83" t="s">
        <v>74</v>
      </c>
      <c r="B13" s="109">
        <v>14276</v>
      </c>
      <c r="C13" s="109">
        <v>17922</v>
      </c>
      <c r="D13" s="109">
        <v>18088</v>
      </c>
      <c r="E13" s="109">
        <v>4319</v>
      </c>
      <c r="F13" s="109">
        <v>3703</v>
      </c>
      <c r="G13" s="109">
        <v>641</v>
      </c>
      <c r="H13" s="109">
        <v>625</v>
      </c>
      <c r="I13" s="109">
        <v>411</v>
      </c>
      <c r="J13" s="109">
        <v>374</v>
      </c>
      <c r="K13" s="178">
        <v>2220</v>
      </c>
      <c r="L13" s="178">
        <v>2009</v>
      </c>
      <c r="M13" s="107">
        <v>11625</v>
      </c>
      <c r="N13" s="176">
        <f t="shared" si="0"/>
        <v>76213</v>
      </c>
    </row>
    <row r="14" spans="1:14" ht="15.75" thickBot="1">
      <c r="A14" s="83" t="s">
        <v>75</v>
      </c>
      <c r="B14" s="109">
        <v>10413</v>
      </c>
      <c r="C14" s="109">
        <v>12979</v>
      </c>
      <c r="D14" s="109">
        <v>8618</v>
      </c>
      <c r="E14" s="109">
        <v>6094</v>
      </c>
      <c r="F14" s="109">
        <v>4251</v>
      </c>
      <c r="G14" s="110">
        <v>326</v>
      </c>
      <c r="H14" s="109">
        <v>205</v>
      </c>
      <c r="I14" s="109">
        <v>346</v>
      </c>
      <c r="J14" s="109">
        <v>450</v>
      </c>
      <c r="K14" s="178">
        <v>3722</v>
      </c>
      <c r="L14" s="178">
        <v>2223</v>
      </c>
      <c r="M14" s="107">
        <v>8004</v>
      </c>
      <c r="N14" s="176">
        <f t="shared" si="0"/>
        <v>57631</v>
      </c>
    </row>
    <row r="15" spans="1:14" ht="15.75" thickBot="1">
      <c r="A15" s="83" t="s">
        <v>76</v>
      </c>
      <c r="B15" s="109">
        <v>16380</v>
      </c>
      <c r="C15" s="109">
        <v>17669</v>
      </c>
      <c r="D15" s="109">
        <v>11291</v>
      </c>
      <c r="E15" s="109">
        <v>7844</v>
      </c>
      <c r="F15" s="109">
        <v>4271</v>
      </c>
      <c r="G15" s="110">
        <v>445</v>
      </c>
      <c r="H15" s="109">
        <v>309</v>
      </c>
      <c r="I15" s="109">
        <v>475</v>
      </c>
      <c r="J15" s="109">
        <v>461</v>
      </c>
      <c r="K15" s="178">
        <v>4465</v>
      </c>
      <c r="L15" s="178">
        <v>2870</v>
      </c>
      <c r="M15" s="107">
        <v>10497</v>
      </c>
      <c r="N15" s="176">
        <f t="shared" si="0"/>
        <v>76977</v>
      </c>
    </row>
    <row r="16" spans="1:14" ht="15.75" thickBot="1">
      <c r="A16" s="83" t="s">
        <v>77</v>
      </c>
      <c r="B16" s="109">
        <v>10168</v>
      </c>
      <c r="C16" s="109">
        <v>13215</v>
      </c>
      <c r="D16" s="109">
        <v>9200</v>
      </c>
      <c r="E16" s="109">
        <v>6629</v>
      </c>
      <c r="F16" s="109">
        <v>6817</v>
      </c>
      <c r="G16" s="109">
        <v>974</v>
      </c>
      <c r="H16" s="109">
        <v>242</v>
      </c>
      <c r="I16" s="109">
        <v>219</v>
      </c>
      <c r="J16" s="109">
        <v>1058</v>
      </c>
      <c r="K16" s="178">
        <v>3331</v>
      </c>
      <c r="L16" s="178">
        <v>5751</v>
      </c>
      <c r="M16" s="107">
        <v>8888</v>
      </c>
      <c r="N16" s="176">
        <f t="shared" si="0"/>
        <v>66492</v>
      </c>
    </row>
    <row r="17" spans="1:14" ht="15.75" thickBot="1">
      <c r="A17" s="83" t="s">
        <v>78</v>
      </c>
      <c r="B17" s="109">
        <v>1569</v>
      </c>
      <c r="C17" s="109">
        <v>2375</v>
      </c>
      <c r="D17" s="109">
        <v>1281</v>
      </c>
      <c r="E17" s="109">
        <v>1064</v>
      </c>
      <c r="F17" s="109">
        <v>590</v>
      </c>
      <c r="G17" s="109">
        <v>160</v>
      </c>
      <c r="H17" s="109">
        <v>226</v>
      </c>
      <c r="I17" s="109">
        <v>172</v>
      </c>
      <c r="J17" s="109">
        <v>186</v>
      </c>
      <c r="K17" s="178">
        <v>518</v>
      </c>
      <c r="L17" s="178">
        <v>368</v>
      </c>
      <c r="M17" s="107">
        <v>1478</v>
      </c>
      <c r="N17" s="176">
        <f t="shared" si="0"/>
        <v>9987</v>
      </c>
    </row>
    <row r="18" spans="1:14" ht="15.75" thickBot="1">
      <c r="A18" s="25" t="s">
        <v>79</v>
      </c>
      <c r="B18" s="109">
        <v>14513</v>
      </c>
      <c r="C18" s="109">
        <v>13552</v>
      </c>
      <c r="D18" s="109">
        <v>12833</v>
      </c>
      <c r="E18" s="109">
        <v>7938</v>
      </c>
      <c r="F18" s="109">
        <v>376</v>
      </c>
      <c r="G18" s="109">
        <v>349</v>
      </c>
      <c r="H18" s="109">
        <v>288</v>
      </c>
      <c r="I18" s="109">
        <v>555</v>
      </c>
      <c r="J18" s="109">
        <v>3430</v>
      </c>
      <c r="K18" s="178">
        <v>7103</v>
      </c>
      <c r="L18" s="178">
        <v>10780</v>
      </c>
      <c r="M18" s="107">
        <v>14759</v>
      </c>
      <c r="N18" s="176">
        <f t="shared" si="0"/>
        <v>86476</v>
      </c>
    </row>
    <row r="19" spans="1:14" ht="15.75" thickBot="1">
      <c r="A19" s="25" t="s">
        <v>80</v>
      </c>
      <c r="B19" s="109">
        <v>2550</v>
      </c>
      <c r="C19" s="109">
        <v>2335</v>
      </c>
      <c r="D19" s="109">
        <v>919</v>
      </c>
      <c r="E19" s="109">
        <v>843</v>
      </c>
      <c r="F19" s="110">
        <v>14</v>
      </c>
      <c r="G19" s="109">
        <v>14</v>
      </c>
      <c r="H19" s="109">
        <v>0</v>
      </c>
      <c r="I19" s="109">
        <v>0</v>
      </c>
      <c r="J19" s="109">
        <v>244</v>
      </c>
      <c r="K19" s="178">
        <v>469</v>
      </c>
      <c r="L19" s="178">
        <v>1401</v>
      </c>
      <c r="M19" s="107">
        <v>1945</v>
      </c>
      <c r="N19" s="176">
        <f t="shared" si="0"/>
        <v>10734</v>
      </c>
    </row>
    <row r="20" spans="1:14" ht="15.75" thickBot="1">
      <c r="A20" s="25" t="s">
        <v>81</v>
      </c>
      <c r="B20" s="109">
        <v>36748</v>
      </c>
      <c r="C20" s="109">
        <v>34460</v>
      </c>
      <c r="D20" s="109">
        <v>28149</v>
      </c>
      <c r="E20" s="109">
        <v>12690</v>
      </c>
      <c r="F20" s="109">
        <v>1142</v>
      </c>
      <c r="G20" s="109">
        <v>1218</v>
      </c>
      <c r="H20" s="109">
        <v>1323</v>
      </c>
      <c r="I20" s="109">
        <v>1970</v>
      </c>
      <c r="J20" s="109">
        <v>7569</v>
      </c>
      <c r="K20" s="178">
        <v>16712</v>
      </c>
      <c r="L20" s="178">
        <v>32091</v>
      </c>
      <c r="M20" s="107">
        <v>36228</v>
      </c>
      <c r="N20" s="176">
        <f t="shared" si="0"/>
        <v>210300</v>
      </c>
    </row>
    <row r="21" spans="1:14" ht="15.75" thickBot="1">
      <c r="A21" s="25" t="s">
        <v>23</v>
      </c>
      <c r="B21" s="109">
        <v>55293</v>
      </c>
      <c r="C21" s="109">
        <v>51894</v>
      </c>
      <c r="D21" s="109">
        <v>44628</v>
      </c>
      <c r="E21" s="109">
        <v>17844</v>
      </c>
      <c r="F21" s="109">
        <v>12711</v>
      </c>
      <c r="G21" s="109">
        <v>4853</v>
      </c>
      <c r="H21" s="109">
        <v>3130</v>
      </c>
      <c r="I21" s="109">
        <v>5331</v>
      </c>
      <c r="J21" s="109">
        <v>12453</v>
      </c>
      <c r="K21" s="178">
        <v>12932</v>
      </c>
      <c r="L21" s="178">
        <v>38574</v>
      </c>
      <c r="M21" s="107">
        <v>40543</v>
      </c>
      <c r="N21" s="176">
        <f t="shared" si="0"/>
        <v>300186</v>
      </c>
    </row>
    <row r="22" spans="1:14" ht="15.75" thickBot="1">
      <c r="A22" s="25" t="s">
        <v>82</v>
      </c>
      <c r="B22" s="109" t="s">
        <v>153</v>
      </c>
      <c r="C22" s="109">
        <v>51758</v>
      </c>
      <c r="D22" s="109">
        <v>44942</v>
      </c>
      <c r="E22" s="109">
        <v>32817</v>
      </c>
      <c r="F22" s="109">
        <v>20064</v>
      </c>
      <c r="G22" s="109">
        <v>21664</v>
      </c>
      <c r="H22" s="109">
        <v>19720</v>
      </c>
      <c r="I22" s="109">
        <v>20117</v>
      </c>
      <c r="J22" s="109">
        <v>27489</v>
      </c>
      <c r="K22" s="178">
        <v>26574</v>
      </c>
      <c r="L22" s="178">
        <v>46565</v>
      </c>
      <c r="M22" s="107">
        <v>47828</v>
      </c>
      <c r="N22" s="176">
        <f t="shared" si="0"/>
        <v>359538</v>
      </c>
    </row>
    <row r="23" spans="1:14" ht="15.75" thickBot="1">
      <c r="A23" s="104" t="s">
        <v>24</v>
      </c>
      <c r="B23" s="369" t="s">
        <v>153</v>
      </c>
      <c r="C23" s="109">
        <v>17684</v>
      </c>
      <c r="D23" s="109">
        <v>13486</v>
      </c>
      <c r="E23" s="109">
        <v>9109</v>
      </c>
      <c r="F23" s="109">
        <v>6815</v>
      </c>
      <c r="G23" s="109">
        <v>6262</v>
      </c>
      <c r="H23" s="109">
        <v>869</v>
      </c>
      <c r="I23" s="109">
        <v>1002</v>
      </c>
      <c r="J23" s="109">
        <v>1100</v>
      </c>
      <c r="K23" s="178">
        <v>10710</v>
      </c>
      <c r="L23" s="178">
        <v>12579</v>
      </c>
      <c r="M23" s="107">
        <v>17533</v>
      </c>
      <c r="N23" s="176">
        <f t="shared" si="0"/>
        <v>97149</v>
      </c>
    </row>
    <row r="24" spans="1:14" ht="15.75" thickBot="1">
      <c r="A24" s="104" t="s">
        <v>25</v>
      </c>
      <c r="B24" s="223">
        <v>11852</v>
      </c>
      <c r="C24" s="223">
        <v>11402</v>
      </c>
      <c r="D24" s="223">
        <v>11445</v>
      </c>
      <c r="E24" s="223">
        <v>5824</v>
      </c>
      <c r="F24" s="223">
        <v>4218</v>
      </c>
      <c r="G24" s="223">
        <v>1510</v>
      </c>
      <c r="H24" s="223">
        <v>926</v>
      </c>
      <c r="I24" s="223">
        <v>1870</v>
      </c>
      <c r="J24" s="223">
        <v>1881</v>
      </c>
      <c r="K24" s="179">
        <v>3493</v>
      </c>
      <c r="L24" s="179">
        <v>10360</v>
      </c>
      <c r="M24" s="156">
        <v>9816</v>
      </c>
      <c r="N24" s="176">
        <f t="shared" si="0"/>
        <v>74597</v>
      </c>
    </row>
    <row r="25" spans="1:14" ht="16.5" thickTop="1" thickBot="1">
      <c r="A25" s="84" t="s">
        <v>45</v>
      </c>
      <c r="B25" s="218">
        <f t="shared" ref="B25:M25" si="1">SUM(B4:B24)</f>
        <v>400051</v>
      </c>
      <c r="C25" s="218">
        <f t="shared" si="1"/>
        <v>474166</v>
      </c>
      <c r="D25" s="218">
        <f t="shared" si="1"/>
        <v>383689</v>
      </c>
      <c r="E25" s="218">
        <f t="shared" si="1"/>
        <v>222005</v>
      </c>
      <c r="F25" s="218">
        <f t="shared" si="1"/>
        <v>127519</v>
      </c>
      <c r="G25" s="218">
        <f t="shared" si="1"/>
        <v>85710</v>
      </c>
      <c r="H25" s="218">
        <f t="shared" si="1"/>
        <v>60514</v>
      </c>
      <c r="I25" s="218">
        <f t="shared" si="1"/>
        <v>69624</v>
      </c>
      <c r="J25" s="218">
        <f t="shared" si="1"/>
        <v>123298</v>
      </c>
      <c r="K25" s="218">
        <f t="shared" si="1"/>
        <v>198309</v>
      </c>
      <c r="L25" s="218">
        <f t="shared" si="1"/>
        <v>344848</v>
      </c>
      <c r="M25" s="218">
        <f t="shared" si="1"/>
        <v>416214</v>
      </c>
      <c r="N25" s="219">
        <f t="shared" ref="N25" si="2">SUM(B25:M25)</f>
        <v>2905947</v>
      </c>
    </row>
    <row r="26" spans="1:14">
      <c r="A26" s="6"/>
      <c r="B26" s="182"/>
      <c r="C26" s="182"/>
      <c r="D26" s="182"/>
      <c r="E26" s="182"/>
      <c r="F26" s="182"/>
      <c r="G26" s="182"/>
      <c r="H26" s="182"/>
      <c r="I26" s="182"/>
      <c r="J26" s="182"/>
      <c r="K26" s="182"/>
      <c r="L26" s="182"/>
      <c r="M26" s="182"/>
      <c r="N26" s="182"/>
    </row>
    <row r="27" spans="1:14" ht="15.75" thickBot="1">
      <c r="A27" s="6" t="s">
        <v>15</v>
      </c>
      <c r="B27" s="182"/>
      <c r="C27" s="182"/>
      <c r="D27" s="182"/>
      <c r="E27" s="182"/>
      <c r="F27" s="182"/>
      <c r="G27" s="182"/>
      <c r="H27" s="182"/>
      <c r="I27" s="182"/>
      <c r="J27" s="182"/>
      <c r="K27" s="182"/>
      <c r="L27" s="182"/>
      <c r="M27" s="182"/>
      <c r="N27" s="182"/>
    </row>
    <row r="28" spans="1:14">
      <c r="A28" s="5" t="s">
        <v>85</v>
      </c>
      <c r="B28" s="222">
        <v>1810</v>
      </c>
      <c r="C28" s="222">
        <v>2106</v>
      </c>
      <c r="D28" s="222">
        <v>1486</v>
      </c>
      <c r="E28" s="222">
        <v>1274</v>
      </c>
      <c r="F28" s="222">
        <v>718</v>
      </c>
      <c r="G28" s="236">
        <v>77</v>
      </c>
      <c r="H28" s="222">
        <v>246</v>
      </c>
      <c r="I28" s="222">
        <v>0</v>
      </c>
      <c r="J28" s="222">
        <v>0</v>
      </c>
      <c r="K28" s="184">
        <v>889</v>
      </c>
      <c r="L28" s="184">
        <v>442</v>
      </c>
      <c r="M28" s="105">
        <v>1615</v>
      </c>
      <c r="N28" s="176">
        <f>SUM(B28:M28)</f>
        <v>10663</v>
      </c>
    </row>
    <row r="29" spans="1:14">
      <c r="A29" s="3" t="s">
        <v>86</v>
      </c>
      <c r="B29" s="107">
        <v>1077</v>
      </c>
      <c r="C29" s="109">
        <v>1042</v>
      </c>
      <c r="D29" s="109">
        <v>991</v>
      </c>
      <c r="E29" s="109">
        <v>583</v>
      </c>
      <c r="F29" s="110">
        <v>312</v>
      </c>
      <c r="G29" s="107">
        <v>10</v>
      </c>
      <c r="H29" s="107">
        <v>0</v>
      </c>
      <c r="I29" s="109">
        <v>1</v>
      </c>
      <c r="J29" s="109">
        <v>285</v>
      </c>
      <c r="K29" s="178">
        <v>66</v>
      </c>
      <c r="L29" s="178">
        <v>756</v>
      </c>
      <c r="M29" s="107">
        <v>934</v>
      </c>
      <c r="N29" s="177">
        <f t="shared" ref="N29:N36" si="3">SUM(B29:M29)</f>
        <v>6057</v>
      </c>
    </row>
    <row r="30" spans="1:14">
      <c r="A30" s="3" t="s">
        <v>87</v>
      </c>
      <c r="B30" s="109">
        <v>1663</v>
      </c>
      <c r="C30" s="109">
        <v>2912</v>
      </c>
      <c r="D30" s="109">
        <v>1018</v>
      </c>
      <c r="E30" s="109">
        <v>1072</v>
      </c>
      <c r="F30" s="109">
        <v>430</v>
      </c>
      <c r="G30" s="110">
        <v>14</v>
      </c>
      <c r="H30" s="109">
        <v>11</v>
      </c>
      <c r="I30" s="109">
        <v>0</v>
      </c>
      <c r="J30" s="109">
        <v>6</v>
      </c>
      <c r="K30" s="178">
        <v>588</v>
      </c>
      <c r="L30" s="178">
        <v>1027</v>
      </c>
      <c r="M30" s="107">
        <v>2138</v>
      </c>
      <c r="N30" s="177">
        <f t="shared" si="3"/>
        <v>10879</v>
      </c>
    </row>
    <row r="31" spans="1:14">
      <c r="A31" s="3" t="s">
        <v>88</v>
      </c>
      <c r="B31" s="109">
        <v>1990</v>
      </c>
      <c r="C31" s="289">
        <v>1960</v>
      </c>
      <c r="D31" s="109">
        <v>1597</v>
      </c>
      <c r="E31" s="109">
        <v>1128</v>
      </c>
      <c r="F31" s="109">
        <v>383</v>
      </c>
      <c r="G31" s="110">
        <v>3</v>
      </c>
      <c r="H31" s="109">
        <v>18</v>
      </c>
      <c r="I31" s="109">
        <v>0</v>
      </c>
      <c r="J31" s="109">
        <v>0</v>
      </c>
      <c r="K31" s="178">
        <v>280</v>
      </c>
      <c r="L31" s="178">
        <v>326</v>
      </c>
      <c r="M31" s="107">
        <v>1474</v>
      </c>
      <c r="N31" s="177">
        <f t="shared" si="3"/>
        <v>9159</v>
      </c>
    </row>
    <row r="32" spans="1:14">
      <c r="A32" s="3" t="s">
        <v>89</v>
      </c>
      <c r="B32" s="109">
        <v>649</v>
      </c>
      <c r="C32" s="109">
        <v>938</v>
      </c>
      <c r="D32" s="109">
        <v>339</v>
      </c>
      <c r="E32" s="109">
        <v>533</v>
      </c>
      <c r="F32" s="109">
        <v>98</v>
      </c>
      <c r="G32" s="110">
        <v>23</v>
      </c>
      <c r="H32" s="109">
        <v>10</v>
      </c>
      <c r="I32" s="109">
        <v>24</v>
      </c>
      <c r="J32" s="369"/>
      <c r="K32" s="371"/>
      <c r="L32" s="178">
        <v>103</v>
      </c>
      <c r="M32" s="107">
        <v>695</v>
      </c>
      <c r="N32" s="177">
        <f t="shared" si="3"/>
        <v>3412</v>
      </c>
    </row>
    <row r="33" spans="1:14" ht="15.75" thickBot="1">
      <c r="A33" s="3" t="s">
        <v>90</v>
      </c>
      <c r="B33" s="223">
        <v>170</v>
      </c>
      <c r="C33" s="223">
        <v>351</v>
      </c>
      <c r="D33" s="223">
        <v>189</v>
      </c>
      <c r="E33" s="223">
        <v>259</v>
      </c>
      <c r="F33" s="223">
        <v>299</v>
      </c>
      <c r="G33" s="237">
        <v>214</v>
      </c>
      <c r="H33" s="223">
        <v>269</v>
      </c>
      <c r="I33" s="223">
        <v>221</v>
      </c>
      <c r="J33" s="370"/>
      <c r="K33" s="372"/>
      <c r="L33" s="179">
        <v>119</v>
      </c>
      <c r="M33" s="156">
        <v>265</v>
      </c>
      <c r="N33" s="180">
        <f t="shared" si="3"/>
        <v>2356</v>
      </c>
    </row>
    <row r="34" spans="1:14" ht="15.75" thickTop="1">
      <c r="A34" s="363" t="s">
        <v>152</v>
      </c>
      <c r="B34" s="364">
        <v>365</v>
      </c>
      <c r="C34" s="364">
        <v>331</v>
      </c>
      <c r="D34" s="364">
        <v>278</v>
      </c>
      <c r="E34" s="364">
        <v>197</v>
      </c>
      <c r="F34" s="364">
        <v>97</v>
      </c>
      <c r="G34" s="365">
        <v>5</v>
      </c>
      <c r="H34" s="364">
        <v>41</v>
      </c>
      <c r="I34" s="364">
        <v>5</v>
      </c>
      <c r="J34" s="364">
        <v>38</v>
      </c>
      <c r="K34" s="366">
        <v>111</v>
      </c>
      <c r="L34" s="366">
        <v>283</v>
      </c>
      <c r="M34" s="367">
        <v>249</v>
      </c>
      <c r="N34" s="368">
        <f t="shared" si="3"/>
        <v>2000</v>
      </c>
    </row>
    <row r="35" spans="1:14">
      <c r="A35" s="363" t="s">
        <v>154</v>
      </c>
      <c r="B35" s="364" t="s">
        <v>42</v>
      </c>
      <c r="C35" s="364" t="s">
        <v>42</v>
      </c>
      <c r="D35" s="364" t="s">
        <v>42</v>
      </c>
      <c r="E35" s="364" t="s">
        <v>42</v>
      </c>
      <c r="F35" s="364" t="s">
        <v>42</v>
      </c>
      <c r="G35" s="365">
        <v>0</v>
      </c>
      <c r="H35" s="364">
        <v>0</v>
      </c>
      <c r="I35" s="364">
        <v>0</v>
      </c>
      <c r="J35" s="364">
        <v>0</v>
      </c>
      <c r="K35" s="366">
        <v>0</v>
      </c>
      <c r="L35" s="366">
        <v>1</v>
      </c>
      <c r="M35" s="367">
        <v>193</v>
      </c>
      <c r="N35" s="368">
        <f t="shared" si="3"/>
        <v>194</v>
      </c>
    </row>
    <row r="36" spans="1:14" ht="15.75" thickBot="1">
      <c r="A36" s="84" t="s">
        <v>46</v>
      </c>
      <c r="B36" s="218">
        <f>SUM(B28:B34)</f>
        <v>7724</v>
      </c>
      <c r="C36" s="218">
        <f>SUM(C28:C33)</f>
        <v>9309</v>
      </c>
      <c r="D36" s="218">
        <f>SUM(D28:D34)</f>
        <v>5898</v>
      </c>
      <c r="E36" s="218">
        <f>SUM(E28:E33)</f>
        <v>4849</v>
      </c>
      <c r="F36" s="218">
        <f>SUM(F28:F33)</f>
        <v>2240</v>
      </c>
      <c r="G36" s="218">
        <v>51</v>
      </c>
      <c r="H36" s="218">
        <v>4</v>
      </c>
      <c r="I36" s="218">
        <v>2</v>
      </c>
      <c r="J36" s="218">
        <v>12</v>
      </c>
      <c r="K36" s="218">
        <v>2</v>
      </c>
      <c r="L36" s="218">
        <v>193</v>
      </c>
      <c r="M36" s="218">
        <v>251</v>
      </c>
      <c r="N36" s="219">
        <f t="shared" si="3"/>
        <v>30535</v>
      </c>
    </row>
    <row r="37" spans="1:14" ht="15.75" thickBot="1">
      <c r="A37" s="6"/>
      <c r="B37" s="182"/>
      <c r="C37" s="182"/>
      <c r="D37" s="182"/>
      <c r="E37" s="182"/>
      <c r="F37" s="182"/>
      <c r="G37" s="182"/>
      <c r="H37" s="182"/>
      <c r="I37" s="182"/>
      <c r="J37" s="182"/>
      <c r="K37" s="182"/>
      <c r="L37" s="182"/>
      <c r="M37" s="182"/>
      <c r="N37" s="182"/>
    </row>
    <row r="38" spans="1:14">
      <c r="A38" s="100" t="s">
        <v>142</v>
      </c>
      <c r="B38" s="184"/>
      <c r="C38" s="184"/>
      <c r="D38" s="184"/>
      <c r="E38" s="184"/>
      <c r="F38" s="184"/>
      <c r="G38" s="184"/>
      <c r="H38" s="184"/>
      <c r="I38" s="184"/>
      <c r="J38" s="184"/>
      <c r="K38" s="184"/>
      <c r="L38" s="184"/>
      <c r="M38" s="184"/>
      <c r="N38" s="253">
        <f>SUM(B38:M38)</f>
        <v>0</v>
      </c>
    </row>
    <row r="39" spans="1:14">
      <c r="A39" s="101" t="s">
        <v>141</v>
      </c>
      <c r="B39" s="107">
        <v>18372</v>
      </c>
      <c r="C39" s="107">
        <v>15579</v>
      </c>
      <c r="D39" s="107">
        <v>12018</v>
      </c>
      <c r="E39" s="107">
        <v>14153</v>
      </c>
      <c r="F39" s="178">
        <v>1167</v>
      </c>
      <c r="G39" s="178">
        <v>430</v>
      </c>
      <c r="H39" s="178">
        <v>222</v>
      </c>
      <c r="I39" s="178">
        <v>327</v>
      </c>
      <c r="J39" s="178">
        <v>1127</v>
      </c>
      <c r="K39" s="178">
        <v>6987</v>
      </c>
      <c r="L39" s="178">
        <v>9760</v>
      </c>
      <c r="M39" s="178">
        <v>19377</v>
      </c>
      <c r="N39" s="254">
        <f>SUM(B39:M39)</f>
        <v>99519</v>
      </c>
    </row>
    <row r="40" spans="1:14" ht="15.75" thickBot="1">
      <c r="A40" s="294" t="s">
        <v>140</v>
      </c>
      <c r="B40" s="156">
        <f>593+293+274+445</f>
        <v>1605</v>
      </c>
      <c r="C40" s="156">
        <f>491+279+525+386</f>
        <v>1681</v>
      </c>
      <c r="D40" s="156">
        <f>402+174+158+152</f>
        <v>886</v>
      </c>
      <c r="E40" s="156">
        <f>463+145+278+430</f>
        <v>1316</v>
      </c>
      <c r="F40" s="156">
        <f>70+26+4+33</f>
        <v>133</v>
      </c>
      <c r="G40" s="156">
        <f>69+54+10+96</f>
        <v>229</v>
      </c>
      <c r="H40" s="156">
        <f>16+28+0+4</f>
        <v>48</v>
      </c>
      <c r="I40" s="156">
        <f>15+20+0+10</f>
        <v>45</v>
      </c>
      <c r="J40" s="156">
        <f>17+47+27+4</f>
        <v>95</v>
      </c>
      <c r="K40" s="156">
        <f>14+34+104+166</f>
        <v>318</v>
      </c>
      <c r="L40" s="156">
        <f>198+101</f>
        <v>299</v>
      </c>
      <c r="M40" s="156">
        <f>395+569+440+570</f>
        <v>1974</v>
      </c>
      <c r="N40" s="297">
        <f>SUM(B40:M40)</f>
        <v>8629</v>
      </c>
    </row>
    <row r="41" spans="1:14" ht="16.5" thickTop="1" thickBot="1">
      <c r="A41" s="292" t="s">
        <v>20</v>
      </c>
      <c r="B41" s="296">
        <f>SUM(B38:B40)</f>
        <v>19977</v>
      </c>
      <c r="C41" s="296">
        <f t="shared" ref="C41:M41" si="4">SUM(C38:C40)</f>
        <v>17260</v>
      </c>
      <c r="D41" s="296">
        <f t="shared" si="4"/>
        <v>12904</v>
      </c>
      <c r="E41" s="296">
        <f t="shared" si="4"/>
        <v>15469</v>
      </c>
      <c r="F41" s="296">
        <f t="shared" si="4"/>
        <v>1300</v>
      </c>
      <c r="G41" s="296">
        <f t="shared" si="4"/>
        <v>659</v>
      </c>
      <c r="H41" s="296">
        <f t="shared" si="4"/>
        <v>270</v>
      </c>
      <c r="I41" s="296">
        <f t="shared" si="4"/>
        <v>372</v>
      </c>
      <c r="J41" s="296">
        <f t="shared" si="4"/>
        <v>1222</v>
      </c>
      <c r="K41" s="296">
        <f t="shared" si="4"/>
        <v>7305</v>
      </c>
      <c r="L41" s="296">
        <f t="shared" si="4"/>
        <v>10059</v>
      </c>
      <c r="M41" s="296">
        <f t="shared" si="4"/>
        <v>21351</v>
      </c>
      <c r="N41" s="298">
        <f>SUM(B41:M41)</f>
        <v>108148</v>
      </c>
    </row>
    <row r="43" spans="1:14" ht="15.75" thickBot="1">
      <c r="A43" s="17"/>
      <c r="B43" s="159"/>
      <c r="C43" s="159"/>
      <c r="D43" s="159"/>
      <c r="E43" s="159"/>
      <c r="F43" s="159"/>
      <c r="G43" s="159"/>
      <c r="H43" s="159"/>
      <c r="I43" s="159"/>
      <c r="J43" s="159"/>
      <c r="K43" s="159"/>
      <c r="L43" s="159"/>
      <c r="M43" s="159"/>
      <c r="N43" s="159"/>
    </row>
    <row r="44" spans="1:14" ht="15.75" thickBot="1">
      <c r="A44" s="85" t="s">
        <v>61</v>
      </c>
      <c r="B44" s="224">
        <f>B25+B36+B41</f>
        <v>427752</v>
      </c>
      <c r="C44" s="224">
        <f t="shared" ref="C44:N44" si="5">C25+C36+C41</f>
        <v>500735</v>
      </c>
      <c r="D44" s="224">
        <f t="shared" si="5"/>
        <v>402491</v>
      </c>
      <c r="E44" s="224">
        <f t="shared" si="5"/>
        <v>242323</v>
      </c>
      <c r="F44" s="224">
        <f t="shared" si="5"/>
        <v>131059</v>
      </c>
      <c r="G44" s="224">
        <f t="shared" si="5"/>
        <v>86420</v>
      </c>
      <c r="H44" s="224">
        <f t="shared" si="5"/>
        <v>60788</v>
      </c>
      <c r="I44" s="224">
        <f t="shared" si="5"/>
        <v>69998</v>
      </c>
      <c r="J44" s="224">
        <f t="shared" si="5"/>
        <v>124532</v>
      </c>
      <c r="K44" s="224">
        <f t="shared" si="5"/>
        <v>205616</v>
      </c>
      <c r="L44" s="224">
        <f t="shared" si="5"/>
        <v>355100</v>
      </c>
      <c r="M44" s="224">
        <f t="shared" si="5"/>
        <v>437816</v>
      </c>
      <c r="N44" s="224">
        <f t="shared" si="5"/>
        <v>3044630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40"/>
  <sheetViews>
    <sheetView showGridLines="0" topLeftCell="A22" workbookViewId="0">
      <selection activeCell="N1" sqref="N1"/>
    </sheetView>
  </sheetViews>
  <sheetFormatPr defaultColWidth="8.85546875" defaultRowHeight="15"/>
  <cols>
    <col min="1" max="1" width="22.42578125" style="17" customWidth="1"/>
    <col min="2" max="5" width="9.28515625" style="17" bestFit="1" customWidth="1"/>
    <col min="6" max="6" width="9.7109375" style="17" bestFit="1" customWidth="1"/>
    <col min="7" max="8" width="9.28515625" style="17" bestFit="1" customWidth="1"/>
    <col min="9" max="9" width="9.42578125" style="17" bestFit="1" customWidth="1"/>
    <col min="10" max="11" width="9.28515625" style="17" bestFit="1" customWidth="1"/>
    <col min="12" max="12" width="9.7109375" style="17" bestFit="1" customWidth="1"/>
    <col min="13" max="13" width="9.28515625" style="17" bestFit="1" customWidth="1"/>
    <col min="14" max="14" width="10" style="17" bestFit="1" customWidth="1"/>
    <col min="15" max="16384" width="8.85546875" style="17"/>
  </cols>
  <sheetData>
    <row r="1" spans="1:14" ht="17.25" thickBot="1">
      <c r="A1" s="119" t="s">
        <v>0</v>
      </c>
      <c r="B1" s="120">
        <v>39083</v>
      </c>
      <c r="C1" s="120">
        <v>39114</v>
      </c>
      <c r="D1" s="120">
        <v>39142</v>
      </c>
      <c r="E1" s="120">
        <v>39173</v>
      </c>
      <c r="F1" s="120">
        <v>39203</v>
      </c>
      <c r="G1" s="120">
        <v>39234</v>
      </c>
      <c r="H1" s="120">
        <v>39264</v>
      </c>
      <c r="I1" s="120">
        <v>39295</v>
      </c>
      <c r="J1" s="120">
        <v>39326</v>
      </c>
      <c r="K1" s="120">
        <v>39356</v>
      </c>
      <c r="L1" s="120">
        <v>39387</v>
      </c>
      <c r="M1" s="120">
        <v>39417</v>
      </c>
      <c r="N1" s="12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c r="A4" s="138" t="s">
        <v>24</v>
      </c>
      <c r="B4" s="105">
        <v>587</v>
      </c>
      <c r="C4" s="105">
        <v>691</v>
      </c>
      <c r="D4" s="105">
        <v>659</v>
      </c>
      <c r="E4" s="105">
        <v>792</v>
      </c>
      <c r="F4" s="105">
        <v>570</v>
      </c>
      <c r="G4" s="105">
        <v>528</v>
      </c>
      <c r="H4" s="105">
        <v>658</v>
      </c>
      <c r="I4" s="105">
        <v>688</v>
      </c>
      <c r="J4" s="105">
        <v>600</v>
      </c>
      <c r="K4" s="105">
        <v>583</v>
      </c>
      <c r="L4" s="105">
        <v>566</v>
      </c>
      <c r="M4" s="105">
        <v>548</v>
      </c>
      <c r="N4" s="176">
        <f>SUM(B4:M4)</f>
        <v>7470</v>
      </c>
    </row>
    <row r="5" spans="1:14">
      <c r="A5" s="139" t="s">
        <v>27</v>
      </c>
      <c r="B5" s="107">
        <v>124</v>
      </c>
      <c r="C5" s="107">
        <v>88</v>
      </c>
      <c r="D5" s="107">
        <v>89</v>
      </c>
      <c r="E5" s="107">
        <v>54</v>
      </c>
      <c r="F5" s="107">
        <v>124</v>
      </c>
      <c r="G5" s="107">
        <v>82</v>
      </c>
      <c r="H5" s="107">
        <v>65</v>
      </c>
      <c r="I5" s="107">
        <v>69</v>
      </c>
      <c r="J5" s="107">
        <v>80</v>
      </c>
      <c r="K5" s="107">
        <v>62</v>
      </c>
      <c r="L5" s="107">
        <v>76</v>
      </c>
      <c r="M5" s="107">
        <v>77</v>
      </c>
      <c r="N5" s="177">
        <f t="shared" ref="N5:N22" si="0">SUM(B5:M5)</f>
        <v>990</v>
      </c>
    </row>
    <row r="6" spans="1:14">
      <c r="A6" s="139" t="s">
        <v>115</v>
      </c>
      <c r="B6" s="107">
        <v>1525</v>
      </c>
      <c r="C6" s="107">
        <v>1616</v>
      </c>
      <c r="D6" s="107">
        <v>1548</v>
      </c>
      <c r="E6" s="107">
        <v>1727</v>
      </c>
      <c r="F6" s="107">
        <v>1839</v>
      </c>
      <c r="G6" s="107">
        <v>2341</v>
      </c>
      <c r="H6" s="107">
        <v>2919</v>
      </c>
      <c r="I6" s="107">
        <v>3184</v>
      </c>
      <c r="J6" s="107">
        <v>2921</v>
      </c>
      <c r="K6" s="107">
        <v>2351</v>
      </c>
      <c r="L6" s="107">
        <v>1554</v>
      </c>
      <c r="M6" s="107">
        <v>1343</v>
      </c>
      <c r="N6" s="177">
        <f t="shared" si="0"/>
        <v>24868</v>
      </c>
    </row>
    <row r="7" spans="1:14" ht="30">
      <c r="A7" s="139" t="s">
        <v>116</v>
      </c>
      <c r="B7" s="107">
        <v>716</v>
      </c>
      <c r="C7" s="107">
        <v>876</v>
      </c>
      <c r="D7" s="107">
        <v>758</v>
      </c>
      <c r="E7" s="107">
        <v>775</v>
      </c>
      <c r="F7" s="107">
        <v>308</v>
      </c>
      <c r="G7" s="107">
        <v>371</v>
      </c>
      <c r="H7" s="107">
        <v>243</v>
      </c>
      <c r="I7" s="107">
        <v>338</v>
      </c>
      <c r="J7" s="107">
        <v>544</v>
      </c>
      <c r="K7" s="107">
        <v>511</v>
      </c>
      <c r="L7" s="107">
        <v>649</v>
      </c>
      <c r="M7" s="107">
        <v>530</v>
      </c>
      <c r="N7" s="177">
        <f t="shared" si="0"/>
        <v>6619</v>
      </c>
    </row>
    <row r="8" spans="1:14">
      <c r="A8" s="139" t="s">
        <v>28</v>
      </c>
      <c r="B8" s="107">
        <v>505</v>
      </c>
      <c r="C8" s="107">
        <v>575</v>
      </c>
      <c r="D8" s="107">
        <v>564</v>
      </c>
      <c r="E8" s="107">
        <v>605</v>
      </c>
      <c r="F8" s="107">
        <v>332</v>
      </c>
      <c r="G8" s="107">
        <v>350</v>
      </c>
      <c r="H8" s="107">
        <v>343</v>
      </c>
      <c r="I8" s="107">
        <v>384</v>
      </c>
      <c r="J8" s="107">
        <v>365</v>
      </c>
      <c r="K8" s="107">
        <v>606</v>
      </c>
      <c r="L8" s="107">
        <v>599</v>
      </c>
      <c r="M8" s="107">
        <v>579</v>
      </c>
      <c r="N8" s="177">
        <f>SUM(B8:M8)</f>
        <v>5807</v>
      </c>
    </row>
    <row r="9" spans="1:14">
      <c r="A9" s="139" t="s">
        <v>81</v>
      </c>
      <c r="B9" s="107">
        <f>1180+126</f>
        <v>1306</v>
      </c>
      <c r="C9" s="107">
        <f>1160+193</f>
        <v>1353</v>
      </c>
      <c r="D9" s="107">
        <f>1270+185</f>
        <v>1455</v>
      </c>
      <c r="E9" s="107">
        <f>1348+151</f>
        <v>1499</v>
      </c>
      <c r="F9" s="107">
        <f>504+33</f>
        <v>537</v>
      </c>
      <c r="G9" s="107">
        <f>755+51</f>
        <v>806</v>
      </c>
      <c r="H9" s="107">
        <f>1175+71</f>
        <v>1246</v>
      </c>
      <c r="I9" s="107">
        <f>1806+308</f>
        <v>2114</v>
      </c>
      <c r="J9" s="107">
        <f>2382+827</f>
        <v>3209</v>
      </c>
      <c r="K9" s="107">
        <f>1805+466</f>
        <v>2271</v>
      </c>
      <c r="L9" s="107">
        <f>1212+160</f>
        <v>1372</v>
      </c>
      <c r="M9" s="107">
        <f>1082+109</f>
        <v>1191</v>
      </c>
      <c r="N9" s="177">
        <f>SUM(B9:M9)</f>
        <v>18359</v>
      </c>
    </row>
    <row r="10" spans="1:14" ht="30">
      <c r="A10" s="139" t="s">
        <v>117</v>
      </c>
      <c r="B10" s="107">
        <v>793</v>
      </c>
      <c r="C10" s="107">
        <v>746</v>
      </c>
      <c r="D10" s="107">
        <v>756</v>
      </c>
      <c r="E10" s="107">
        <v>789</v>
      </c>
      <c r="F10" s="107">
        <v>257</v>
      </c>
      <c r="G10" s="107">
        <v>111</v>
      </c>
      <c r="H10" s="107">
        <v>340</v>
      </c>
      <c r="I10" s="107">
        <v>335</v>
      </c>
      <c r="J10" s="107">
        <v>550</v>
      </c>
      <c r="K10" s="107">
        <v>624</v>
      </c>
      <c r="L10" s="107">
        <v>717</v>
      </c>
      <c r="M10" s="107">
        <v>593</v>
      </c>
      <c r="N10" s="177">
        <f>SUM(B10:M10)</f>
        <v>6611</v>
      </c>
    </row>
    <row r="11" spans="1:14">
      <c r="A11" s="139" t="s">
        <v>33</v>
      </c>
      <c r="B11" s="107" t="s">
        <v>104</v>
      </c>
      <c r="C11" s="107" t="s">
        <v>104</v>
      </c>
      <c r="D11" s="107" t="s">
        <v>104</v>
      </c>
      <c r="E11" s="107" t="s">
        <v>104</v>
      </c>
      <c r="F11" s="107" t="s">
        <v>104</v>
      </c>
      <c r="G11" s="107" t="s">
        <v>104</v>
      </c>
      <c r="H11" s="107" t="s">
        <v>104</v>
      </c>
      <c r="I11" s="107" t="s">
        <v>104</v>
      </c>
      <c r="J11" s="107" t="s">
        <v>104</v>
      </c>
      <c r="K11" s="107" t="s">
        <v>104</v>
      </c>
      <c r="L11" s="107" t="s">
        <v>104</v>
      </c>
      <c r="M11" s="107" t="s">
        <v>104</v>
      </c>
      <c r="N11" s="177" t="s">
        <v>42</v>
      </c>
    </row>
    <row r="12" spans="1:14">
      <c r="A12" s="139" t="s">
        <v>76</v>
      </c>
      <c r="B12" s="107">
        <v>643</v>
      </c>
      <c r="C12" s="107">
        <v>291</v>
      </c>
      <c r="D12" s="107">
        <v>579</v>
      </c>
      <c r="E12" s="107">
        <v>658</v>
      </c>
      <c r="F12" s="107">
        <v>310</v>
      </c>
      <c r="G12" s="107">
        <v>638</v>
      </c>
      <c r="H12" s="107">
        <v>878</v>
      </c>
      <c r="I12" s="107">
        <v>990</v>
      </c>
      <c r="J12" s="107">
        <v>1035</v>
      </c>
      <c r="K12" s="107">
        <v>765</v>
      </c>
      <c r="L12" s="107">
        <v>683</v>
      </c>
      <c r="M12" s="107">
        <v>597</v>
      </c>
      <c r="N12" s="177">
        <f>SUM(B12:M12)</f>
        <v>8067</v>
      </c>
    </row>
    <row r="13" spans="1:14">
      <c r="A13" s="139" t="s">
        <v>29</v>
      </c>
      <c r="B13" s="107">
        <v>1059</v>
      </c>
      <c r="C13" s="107">
        <v>1274</v>
      </c>
      <c r="D13" s="107">
        <v>1157</v>
      </c>
      <c r="E13" s="107">
        <v>1244</v>
      </c>
      <c r="F13" s="107">
        <v>1131</v>
      </c>
      <c r="G13" s="107">
        <v>1156</v>
      </c>
      <c r="H13" s="107">
        <v>1436</v>
      </c>
      <c r="I13" s="107">
        <v>1351</v>
      </c>
      <c r="J13" s="107">
        <v>1006</v>
      </c>
      <c r="K13" s="107">
        <v>1033</v>
      </c>
      <c r="L13" s="107">
        <v>1183</v>
      </c>
      <c r="M13" s="107">
        <v>941</v>
      </c>
      <c r="N13" s="177">
        <f t="shared" si="0"/>
        <v>13971</v>
      </c>
    </row>
    <row r="14" spans="1:14">
      <c r="A14" s="3" t="s">
        <v>34</v>
      </c>
      <c r="B14" s="107">
        <v>0</v>
      </c>
      <c r="C14" s="107">
        <v>0</v>
      </c>
      <c r="D14" s="107">
        <v>0</v>
      </c>
      <c r="E14" s="107">
        <v>0</v>
      </c>
      <c r="F14" s="107">
        <v>0</v>
      </c>
      <c r="G14" s="107">
        <v>2542</v>
      </c>
      <c r="H14" s="107">
        <v>3404</v>
      </c>
      <c r="I14" s="107">
        <v>1833</v>
      </c>
      <c r="J14" s="107">
        <v>6</v>
      </c>
      <c r="K14" s="107">
        <v>0</v>
      </c>
      <c r="L14" s="107">
        <v>0</v>
      </c>
      <c r="M14" s="107">
        <v>0</v>
      </c>
      <c r="N14" s="177">
        <f>SUM(B14:M14)</f>
        <v>7785</v>
      </c>
    </row>
    <row r="15" spans="1:14">
      <c r="A15" s="139" t="s">
        <v>119</v>
      </c>
      <c r="B15" s="107">
        <v>8</v>
      </c>
      <c r="C15" s="107">
        <v>7</v>
      </c>
      <c r="D15" s="107">
        <v>5</v>
      </c>
      <c r="E15" s="107">
        <v>4</v>
      </c>
      <c r="F15" s="107">
        <v>2</v>
      </c>
      <c r="G15" s="107">
        <v>1</v>
      </c>
      <c r="H15" s="107">
        <v>0</v>
      </c>
      <c r="I15" s="107">
        <v>1</v>
      </c>
      <c r="J15" s="107">
        <v>2</v>
      </c>
      <c r="K15" s="107">
        <v>4</v>
      </c>
      <c r="L15" s="107">
        <v>4</v>
      </c>
      <c r="M15" s="107">
        <v>2</v>
      </c>
      <c r="N15" s="177">
        <f t="shared" si="0"/>
        <v>40</v>
      </c>
    </row>
    <row r="16" spans="1:14">
      <c r="A16" s="139" t="s">
        <v>2</v>
      </c>
      <c r="B16" s="107">
        <v>150</v>
      </c>
      <c r="C16" s="107">
        <v>124</v>
      </c>
      <c r="D16" s="107">
        <v>113</v>
      </c>
      <c r="E16" s="107">
        <v>125</v>
      </c>
      <c r="F16" s="107">
        <v>126</v>
      </c>
      <c r="G16" s="107">
        <v>114</v>
      </c>
      <c r="H16" s="107">
        <v>200</v>
      </c>
      <c r="I16" s="107">
        <v>167</v>
      </c>
      <c r="J16" s="107">
        <v>189</v>
      </c>
      <c r="K16" s="107">
        <v>148</v>
      </c>
      <c r="L16" s="107">
        <v>233</v>
      </c>
      <c r="M16" s="107">
        <v>152</v>
      </c>
      <c r="N16" s="177">
        <f t="shared" si="0"/>
        <v>1841</v>
      </c>
    </row>
    <row r="17" spans="1:14" ht="30">
      <c r="A17" s="139" t="s">
        <v>30</v>
      </c>
      <c r="B17" s="107">
        <v>0</v>
      </c>
      <c r="C17" s="107">
        <v>0</v>
      </c>
      <c r="D17" s="107">
        <v>0</v>
      </c>
      <c r="E17" s="107">
        <v>0</v>
      </c>
      <c r="F17" s="107">
        <v>0</v>
      </c>
      <c r="G17" s="107">
        <v>2</v>
      </c>
      <c r="H17" s="107">
        <v>54</v>
      </c>
      <c r="I17" s="107">
        <v>56</v>
      </c>
      <c r="J17" s="107">
        <v>37</v>
      </c>
      <c r="K17" s="107">
        <v>1</v>
      </c>
      <c r="L17" s="107">
        <v>0</v>
      </c>
      <c r="M17" s="107">
        <v>0</v>
      </c>
      <c r="N17" s="177">
        <f>SUM(B17:M17)</f>
        <v>150</v>
      </c>
    </row>
    <row r="18" spans="1:14">
      <c r="A18" s="139" t="s">
        <v>120</v>
      </c>
      <c r="B18" s="107">
        <v>992</v>
      </c>
      <c r="C18" s="107">
        <v>817</v>
      </c>
      <c r="D18" s="107">
        <v>774</v>
      </c>
      <c r="E18" s="107">
        <v>722</v>
      </c>
      <c r="F18" s="107">
        <v>490</v>
      </c>
      <c r="G18" s="107">
        <v>571</v>
      </c>
      <c r="H18" s="107">
        <v>764</v>
      </c>
      <c r="I18" s="107">
        <v>756</v>
      </c>
      <c r="J18" s="107">
        <v>1081</v>
      </c>
      <c r="K18" s="107">
        <v>1194</v>
      </c>
      <c r="L18" s="107">
        <v>808</v>
      </c>
      <c r="M18" s="107">
        <v>73</v>
      </c>
      <c r="N18" s="177">
        <f t="shared" si="0"/>
        <v>9042</v>
      </c>
    </row>
    <row r="19" spans="1:14" ht="30">
      <c r="A19" s="139" t="s">
        <v>122</v>
      </c>
      <c r="B19" s="107">
        <v>718</v>
      </c>
      <c r="C19" s="107">
        <v>607</v>
      </c>
      <c r="D19" s="107">
        <v>626</v>
      </c>
      <c r="E19" s="107">
        <v>645</v>
      </c>
      <c r="F19" s="107">
        <v>134</v>
      </c>
      <c r="G19" s="107">
        <v>474</v>
      </c>
      <c r="H19" s="107">
        <v>1004</v>
      </c>
      <c r="I19" s="107">
        <v>903</v>
      </c>
      <c r="J19" s="107">
        <v>618</v>
      </c>
      <c r="K19" s="107">
        <v>756</v>
      </c>
      <c r="L19" s="107">
        <v>835</v>
      </c>
      <c r="M19" s="107">
        <v>668</v>
      </c>
      <c r="N19" s="177">
        <f t="shared" si="0"/>
        <v>7988</v>
      </c>
    </row>
    <row r="20" spans="1:14" ht="30">
      <c r="A20" s="139" t="s">
        <v>121</v>
      </c>
      <c r="B20" s="107">
        <v>685</v>
      </c>
      <c r="C20" s="107">
        <v>638</v>
      </c>
      <c r="D20" s="107">
        <v>658</v>
      </c>
      <c r="E20" s="107">
        <v>683</v>
      </c>
      <c r="F20" s="107">
        <v>145</v>
      </c>
      <c r="G20" s="107">
        <v>78</v>
      </c>
      <c r="H20" s="107">
        <v>181</v>
      </c>
      <c r="I20" s="107">
        <v>162</v>
      </c>
      <c r="J20" s="107">
        <v>439</v>
      </c>
      <c r="K20" s="107">
        <v>676</v>
      </c>
      <c r="L20" s="107">
        <v>663</v>
      </c>
      <c r="M20" s="107">
        <v>563</v>
      </c>
      <c r="N20" s="177">
        <f t="shared" si="0"/>
        <v>5571</v>
      </c>
    </row>
    <row r="21" spans="1:14">
      <c r="A21" s="139" t="s">
        <v>31</v>
      </c>
      <c r="B21" s="107">
        <f>1231+1302</f>
        <v>2533</v>
      </c>
      <c r="C21" s="107">
        <f>1167+980</f>
        <v>2147</v>
      </c>
      <c r="D21" s="107">
        <f>1126+913</f>
        <v>2039</v>
      </c>
      <c r="E21" s="107">
        <f>1251+1216</f>
        <v>2467</v>
      </c>
      <c r="F21" s="107">
        <f>1179+239</f>
        <v>1418</v>
      </c>
      <c r="G21" s="107">
        <f>752+78</f>
        <v>830</v>
      </c>
      <c r="H21" s="107">
        <f>383+8</f>
        <v>391</v>
      </c>
      <c r="I21" s="107">
        <f>577+44</f>
        <v>621</v>
      </c>
      <c r="J21" s="107">
        <f>1173+518</f>
        <v>1691</v>
      </c>
      <c r="K21" s="107">
        <f>1168+742</f>
        <v>1910</v>
      </c>
      <c r="L21" s="107">
        <f>1130+645</f>
        <v>1775</v>
      </c>
      <c r="M21" s="107">
        <f>1093+589</f>
        <v>1682</v>
      </c>
      <c r="N21" s="177">
        <f t="shared" si="0"/>
        <v>19504</v>
      </c>
    </row>
    <row r="22" spans="1:14" ht="15.75" thickBot="1">
      <c r="A22" s="3" t="s">
        <v>23</v>
      </c>
      <c r="B22" s="156">
        <v>88</v>
      </c>
      <c r="C22" s="156">
        <v>315</v>
      </c>
      <c r="D22" s="156">
        <v>245</v>
      </c>
      <c r="E22" s="156">
        <v>276</v>
      </c>
      <c r="F22" s="156">
        <v>324</v>
      </c>
      <c r="G22" s="156">
        <v>225</v>
      </c>
      <c r="H22" s="156">
        <v>239</v>
      </c>
      <c r="I22" s="156">
        <v>301</v>
      </c>
      <c r="J22" s="156">
        <v>242</v>
      </c>
      <c r="K22" s="156">
        <v>287</v>
      </c>
      <c r="L22" s="156">
        <v>246</v>
      </c>
      <c r="M22" s="156">
        <v>193</v>
      </c>
      <c r="N22" s="180">
        <f t="shared" si="0"/>
        <v>2981</v>
      </c>
    </row>
    <row r="23" spans="1:14" ht="16.5" customHeight="1" thickTop="1" thickBot="1">
      <c r="A23" s="122" t="s">
        <v>45</v>
      </c>
      <c r="B23" s="239">
        <f t="shared" ref="B23:N23" si="1">SUM(B4:B22)</f>
        <v>12432</v>
      </c>
      <c r="C23" s="239">
        <f t="shared" si="1"/>
        <v>12165</v>
      </c>
      <c r="D23" s="239">
        <f t="shared" si="1"/>
        <v>12025</v>
      </c>
      <c r="E23" s="239">
        <f t="shared" si="1"/>
        <v>13065</v>
      </c>
      <c r="F23" s="239">
        <f t="shared" si="1"/>
        <v>8047</v>
      </c>
      <c r="G23" s="239">
        <f t="shared" si="1"/>
        <v>11220</v>
      </c>
      <c r="H23" s="239">
        <f t="shared" si="1"/>
        <v>14365</v>
      </c>
      <c r="I23" s="239">
        <f t="shared" si="1"/>
        <v>14253</v>
      </c>
      <c r="J23" s="239">
        <f t="shared" si="1"/>
        <v>14615</v>
      </c>
      <c r="K23" s="239">
        <f t="shared" si="1"/>
        <v>13782</v>
      </c>
      <c r="L23" s="239">
        <f t="shared" si="1"/>
        <v>11963</v>
      </c>
      <c r="M23" s="239">
        <f t="shared" si="1"/>
        <v>9732</v>
      </c>
      <c r="N23" s="240">
        <f t="shared" si="1"/>
        <v>147664</v>
      </c>
    </row>
    <row r="24" spans="1:14">
      <c r="A24" s="6"/>
      <c r="B24" s="182"/>
      <c r="C24" s="182"/>
      <c r="D24" s="182"/>
      <c r="E24" s="182"/>
      <c r="F24" s="182"/>
      <c r="G24" s="182"/>
      <c r="H24" s="182"/>
      <c r="I24" s="182"/>
      <c r="J24" s="182"/>
      <c r="K24" s="182"/>
      <c r="L24" s="182"/>
      <c r="M24" s="182"/>
      <c r="N24" s="182"/>
    </row>
    <row r="25" spans="1:14" ht="15.75" thickBot="1">
      <c r="A25" s="6" t="s">
        <v>8</v>
      </c>
      <c r="B25" s="182"/>
      <c r="C25" s="182"/>
      <c r="D25" s="182"/>
      <c r="E25" s="182"/>
      <c r="F25" s="182"/>
      <c r="G25" s="182"/>
      <c r="H25" s="182"/>
      <c r="I25" s="182"/>
      <c r="J25" s="182"/>
      <c r="K25" s="182"/>
      <c r="L25" s="182"/>
      <c r="M25" s="182"/>
      <c r="N25" s="182"/>
    </row>
    <row r="26" spans="1:14">
      <c r="A26" s="136" t="s">
        <v>105</v>
      </c>
      <c r="B26" s="105">
        <v>26</v>
      </c>
      <c r="C26" s="105">
        <v>84</v>
      </c>
      <c r="D26" s="105">
        <v>85</v>
      </c>
      <c r="E26" s="105">
        <v>62</v>
      </c>
      <c r="F26" s="105">
        <v>29</v>
      </c>
      <c r="G26" s="105">
        <v>0</v>
      </c>
      <c r="H26" s="105">
        <v>2</v>
      </c>
      <c r="I26" s="105">
        <v>1</v>
      </c>
      <c r="J26" s="105">
        <v>13</v>
      </c>
      <c r="K26" s="105">
        <v>61</v>
      </c>
      <c r="L26" s="105">
        <v>60</v>
      </c>
      <c r="M26" s="105">
        <f>(L26+B26)/2</f>
        <v>43</v>
      </c>
      <c r="N26" s="176">
        <f>SUM(B26:M26)</f>
        <v>466</v>
      </c>
    </row>
    <row r="27" spans="1:14">
      <c r="A27" s="13" t="s">
        <v>85</v>
      </c>
      <c r="B27" s="107" t="s">
        <v>104</v>
      </c>
      <c r="C27" s="107" t="s">
        <v>104</v>
      </c>
      <c r="D27" s="107" t="s">
        <v>104</v>
      </c>
      <c r="E27" s="107" t="s">
        <v>104</v>
      </c>
      <c r="F27" s="107" t="s">
        <v>104</v>
      </c>
      <c r="G27" s="107" t="s">
        <v>104</v>
      </c>
      <c r="H27" s="107" t="s">
        <v>104</v>
      </c>
      <c r="I27" s="107" t="s">
        <v>104</v>
      </c>
      <c r="J27" s="107" t="s">
        <v>104</v>
      </c>
      <c r="K27" s="107" t="s">
        <v>104</v>
      </c>
      <c r="L27" s="107" t="s">
        <v>104</v>
      </c>
      <c r="M27" s="107" t="s">
        <v>104</v>
      </c>
      <c r="N27" s="177">
        <f t="shared" ref="N27:N36" si="2">SUM(B27:M27)</f>
        <v>0</v>
      </c>
    </row>
    <row r="28" spans="1:14">
      <c r="A28" s="13" t="s">
        <v>107</v>
      </c>
      <c r="B28" s="107">
        <v>255</v>
      </c>
      <c r="C28" s="107">
        <v>403</v>
      </c>
      <c r="D28" s="107">
        <v>418</v>
      </c>
      <c r="E28" s="107">
        <v>290</v>
      </c>
      <c r="F28" s="107">
        <v>245</v>
      </c>
      <c r="G28" s="107">
        <f>47+11</f>
        <v>58</v>
      </c>
      <c r="H28" s="107">
        <v>65</v>
      </c>
      <c r="I28" s="107">
        <v>39</v>
      </c>
      <c r="J28" s="107">
        <v>152</v>
      </c>
      <c r="K28" s="107">
        <v>339</v>
      </c>
      <c r="L28" s="107">
        <v>389</v>
      </c>
      <c r="M28" s="107">
        <v>519</v>
      </c>
      <c r="N28" s="177">
        <f t="shared" si="2"/>
        <v>3172</v>
      </c>
    </row>
    <row r="29" spans="1:14">
      <c r="A29" s="13" t="s">
        <v>108</v>
      </c>
      <c r="B29" s="107">
        <v>213</v>
      </c>
      <c r="C29" s="107">
        <v>277</v>
      </c>
      <c r="D29" s="107">
        <v>247</v>
      </c>
      <c r="E29" s="107">
        <v>283</v>
      </c>
      <c r="F29" s="107">
        <v>157</v>
      </c>
      <c r="G29" s="107">
        <v>3</v>
      </c>
      <c r="H29" s="107">
        <v>17</v>
      </c>
      <c r="I29" s="107">
        <v>15</v>
      </c>
      <c r="J29" s="107">
        <v>110</v>
      </c>
      <c r="K29" s="107">
        <v>324</v>
      </c>
      <c r="L29" s="107">
        <v>354</v>
      </c>
      <c r="M29" s="107">
        <v>463</v>
      </c>
      <c r="N29" s="177">
        <f t="shared" si="2"/>
        <v>2463</v>
      </c>
    </row>
    <row r="30" spans="1:14">
      <c r="A30" s="13" t="s">
        <v>87</v>
      </c>
      <c r="B30" s="107">
        <v>192</v>
      </c>
      <c r="C30" s="107">
        <v>191</v>
      </c>
      <c r="D30" s="107">
        <f>158+140</f>
        <v>298</v>
      </c>
      <c r="E30" s="107">
        <v>244</v>
      </c>
      <c r="F30" s="107">
        <v>248</v>
      </c>
      <c r="G30" s="107">
        <v>198</v>
      </c>
      <c r="H30" s="107">
        <v>215</v>
      </c>
      <c r="I30" s="107">
        <v>99</v>
      </c>
      <c r="J30" s="107">
        <v>192</v>
      </c>
      <c r="K30" s="107">
        <v>300</v>
      </c>
      <c r="L30" s="107">
        <v>26</v>
      </c>
      <c r="M30" s="107">
        <v>344</v>
      </c>
      <c r="N30" s="177">
        <f t="shared" si="2"/>
        <v>2547</v>
      </c>
    </row>
    <row r="31" spans="1:14">
      <c r="A31" s="13" t="s">
        <v>88</v>
      </c>
      <c r="B31" s="107">
        <v>48</v>
      </c>
      <c r="C31" s="107">
        <v>74</v>
      </c>
      <c r="D31" s="107">
        <v>133</v>
      </c>
      <c r="E31" s="107">
        <v>69</v>
      </c>
      <c r="F31" s="107">
        <v>38</v>
      </c>
      <c r="G31" s="107">
        <v>32</v>
      </c>
      <c r="H31" s="107">
        <v>14</v>
      </c>
      <c r="I31" s="107">
        <v>22</v>
      </c>
      <c r="J31" s="107">
        <v>26</v>
      </c>
      <c r="K31" s="107">
        <v>53</v>
      </c>
      <c r="L31" s="107">
        <v>51</v>
      </c>
      <c r="M31" s="107">
        <v>51</v>
      </c>
      <c r="N31" s="177">
        <f t="shared" si="2"/>
        <v>611</v>
      </c>
    </row>
    <row r="32" spans="1:14">
      <c r="A32" s="13" t="s">
        <v>109</v>
      </c>
      <c r="B32" s="107" t="s">
        <v>104</v>
      </c>
      <c r="C32" s="107" t="s">
        <v>104</v>
      </c>
      <c r="D32" s="107" t="s">
        <v>104</v>
      </c>
      <c r="E32" s="107" t="s">
        <v>104</v>
      </c>
      <c r="F32" s="107" t="s">
        <v>104</v>
      </c>
      <c r="G32" s="107" t="s">
        <v>104</v>
      </c>
      <c r="H32" s="107" t="s">
        <v>104</v>
      </c>
      <c r="I32" s="107" t="s">
        <v>104</v>
      </c>
      <c r="J32" s="107" t="s">
        <v>104</v>
      </c>
      <c r="K32" s="107" t="s">
        <v>104</v>
      </c>
      <c r="L32" s="107" t="s">
        <v>104</v>
      </c>
      <c r="M32" s="107" t="s">
        <v>104</v>
      </c>
      <c r="N32" s="177">
        <f t="shared" si="2"/>
        <v>0</v>
      </c>
    </row>
    <row r="33" spans="1:14">
      <c r="A33" s="3" t="s">
        <v>93</v>
      </c>
      <c r="B33" s="107">
        <v>128</v>
      </c>
      <c r="C33" s="107">
        <v>96</v>
      </c>
      <c r="D33" s="107">
        <v>160</v>
      </c>
      <c r="E33" s="107">
        <v>180</v>
      </c>
      <c r="F33" s="107">
        <v>55</v>
      </c>
      <c r="G33" s="107">
        <v>3</v>
      </c>
      <c r="H33" s="107">
        <v>3</v>
      </c>
      <c r="I33" s="107">
        <v>5</v>
      </c>
      <c r="J33" s="107">
        <v>8</v>
      </c>
      <c r="K33" s="107">
        <v>49</v>
      </c>
      <c r="L33" s="107">
        <v>11</v>
      </c>
      <c r="M33" s="107">
        <v>12</v>
      </c>
      <c r="N33" s="177">
        <f t="shared" si="2"/>
        <v>710</v>
      </c>
    </row>
    <row r="34" spans="1:14">
      <c r="A34" s="3" t="s">
        <v>102</v>
      </c>
      <c r="B34" s="107">
        <v>271</v>
      </c>
      <c r="C34" s="107">
        <v>358</v>
      </c>
      <c r="D34" s="107">
        <v>348</v>
      </c>
      <c r="E34" s="107">
        <v>288</v>
      </c>
      <c r="F34" s="107">
        <v>314</v>
      </c>
      <c r="G34" s="107">
        <v>116</v>
      </c>
      <c r="H34" s="107">
        <v>37</v>
      </c>
      <c r="I34" s="107">
        <v>35</v>
      </c>
      <c r="J34" s="107">
        <v>90</v>
      </c>
      <c r="K34" s="107">
        <v>232</v>
      </c>
      <c r="L34" s="107">
        <v>294</v>
      </c>
      <c r="M34" s="107">
        <v>229</v>
      </c>
      <c r="N34" s="177">
        <f t="shared" si="2"/>
        <v>2612</v>
      </c>
    </row>
    <row r="35" spans="1:14" ht="15.75" thickBot="1">
      <c r="A35" s="3" t="s">
        <v>35</v>
      </c>
      <c r="B35" s="156">
        <v>1547</v>
      </c>
      <c r="C35" s="156">
        <v>0</v>
      </c>
      <c r="D35" s="156">
        <v>0</v>
      </c>
      <c r="E35" s="156">
        <v>0</v>
      </c>
      <c r="F35" s="156">
        <v>0</v>
      </c>
      <c r="G35" s="156">
        <v>0</v>
      </c>
      <c r="H35" s="156">
        <f>37+191</f>
        <v>228</v>
      </c>
      <c r="I35" s="156">
        <f>3+237</f>
        <v>240</v>
      </c>
      <c r="J35" s="156" t="s">
        <v>42</v>
      </c>
      <c r="K35" s="156" t="s">
        <v>42</v>
      </c>
      <c r="L35" s="156" t="s">
        <v>42</v>
      </c>
      <c r="M35" s="156" t="s">
        <v>42</v>
      </c>
      <c r="N35" s="180">
        <f t="shared" si="2"/>
        <v>2015</v>
      </c>
    </row>
    <row r="36" spans="1:14" ht="16.5" thickTop="1" thickBot="1">
      <c r="A36" s="122" t="s">
        <v>46</v>
      </c>
      <c r="B36" s="241">
        <f>SUM(B26:B35)</f>
        <v>2680</v>
      </c>
      <c r="C36" s="241">
        <f t="shared" ref="C36:M36" si="3">SUM(C26:C35)</f>
        <v>1483</v>
      </c>
      <c r="D36" s="241">
        <f t="shared" si="3"/>
        <v>1689</v>
      </c>
      <c r="E36" s="241">
        <f t="shared" si="3"/>
        <v>1416</v>
      </c>
      <c r="F36" s="241">
        <f t="shared" si="3"/>
        <v>1086</v>
      </c>
      <c r="G36" s="241">
        <f t="shared" si="3"/>
        <v>410</v>
      </c>
      <c r="H36" s="241">
        <f t="shared" si="3"/>
        <v>581</v>
      </c>
      <c r="I36" s="241">
        <f t="shared" si="3"/>
        <v>456</v>
      </c>
      <c r="J36" s="241">
        <f t="shared" si="3"/>
        <v>591</v>
      </c>
      <c r="K36" s="241">
        <f t="shared" si="3"/>
        <v>1358</v>
      </c>
      <c r="L36" s="241">
        <f t="shared" si="3"/>
        <v>1185</v>
      </c>
      <c r="M36" s="241">
        <f t="shared" si="3"/>
        <v>1661</v>
      </c>
      <c r="N36" s="240">
        <f t="shared" si="2"/>
        <v>14596</v>
      </c>
    </row>
    <row r="37" spans="1:14" ht="15.75" thickBot="1">
      <c r="A37" s="6"/>
      <c r="B37" s="159"/>
      <c r="C37" s="159"/>
      <c r="D37" s="159"/>
      <c r="E37" s="159"/>
      <c r="F37" s="159"/>
      <c r="G37" s="159"/>
      <c r="H37" s="159"/>
      <c r="I37" s="159"/>
      <c r="J37" s="159"/>
      <c r="K37" s="159"/>
      <c r="L37" s="159"/>
      <c r="M37" s="159"/>
      <c r="N37" s="183"/>
    </row>
    <row r="38" spans="1:14" ht="15.75" thickBot="1">
      <c r="A38" s="123" t="s">
        <v>67</v>
      </c>
      <c r="B38" s="242">
        <f t="shared" ref="B38:N38" si="4">B23+B36</f>
        <v>15112</v>
      </c>
      <c r="C38" s="242">
        <f t="shared" si="4"/>
        <v>13648</v>
      </c>
      <c r="D38" s="242">
        <f t="shared" si="4"/>
        <v>13714</v>
      </c>
      <c r="E38" s="242">
        <f t="shared" si="4"/>
        <v>14481</v>
      </c>
      <c r="F38" s="242">
        <f t="shared" si="4"/>
        <v>9133</v>
      </c>
      <c r="G38" s="242">
        <f t="shared" si="4"/>
        <v>11630</v>
      </c>
      <c r="H38" s="242">
        <f t="shared" si="4"/>
        <v>14946</v>
      </c>
      <c r="I38" s="242">
        <f t="shared" si="4"/>
        <v>14709</v>
      </c>
      <c r="J38" s="242">
        <f t="shared" si="4"/>
        <v>15206</v>
      </c>
      <c r="K38" s="242">
        <f t="shared" si="4"/>
        <v>15140</v>
      </c>
      <c r="L38" s="242">
        <f t="shared" si="4"/>
        <v>13148</v>
      </c>
      <c r="M38" s="242">
        <f t="shared" si="4"/>
        <v>11393</v>
      </c>
      <c r="N38" s="243">
        <f t="shared" si="4"/>
        <v>162260</v>
      </c>
    </row>
    <row r="40" spans="1:14">
      <c r="A40" s="17" t="s">
        <v>129</v>
      </c>
    </row>
  </sheetData>
  <pageMargins left="0.7" right="0.7" top="0.75" bottom="0.75" header="0.3" footer="0.3"/>
  <pageSetup scale="7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N37"/>
  <sheetViews>
    <sheetView showGridLines="0" topLeftCell="A16" workbookViewId="0">
      <selection activeCell="N1" sqref="N1"/>
    </sheetView>
  </sheetViews>
  <sheetFormatPr defaultColWidth="8.85546875" defaultRowHeight="15"/>
  <cols>
    <col min="1" max="1" width="24.140625" style="17" customWidth="1"/>
    <col min="2" max="16384" width="8.85546875" style="17"/>
  </cols>
  <sheetData>
    <row r="1" spans="1:14" ht="17.25" thickBot="1">
      <c r="A1" s="119" t="s">
        <v>0</v>
      </c>
      <c r="B1" s="120">
        <v>39448</v>
      </c>
      <c r="C1" s="120">
        <v>39479</v>
      </c>
      <c r="D1" s="120">
        <v>39508</v>
      </c>
      <c r="E1" s="120">
        <v>39539</v>
      </c>
      <c r="F1" s="120">
        <v>39569</v>
      </c>
      <c r="G1" s="120">
        <v>39600</v>
      </c>
      <c r="H1" s="120">
        <v>39630</v>
      </c>
      <c r="I1" s="120">
        <v>39661</v>
      </c>
      <c r="J1" s="120">
        <v>39692</v>
      </c>
      <c r="K1" s="120">
        <v>39722</v>
      </c>
      <c r="L1" s="120">
        <v>39753</v>
      </c>
      <c r="M1" s="120">
        <v>39783</v>
      </c>
      <c r="N1" s="121"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c r="A4" s="130" t="s">
        <v>24</v>
      </c>
      <c r="B4" s="105">
        <v>562</v>
      </c>
      <c r="C4" s="105">
        <v>632</v>
      </c>
      <c r="D4" s="105">
        <v>501</v>
      </c>
      <c r="E4" s="105">
        <v>626</v>
      </c>
      <c r="F4" s="105">
        <v>656</v>
      </c>
      <c r="G4" s="105">
        <v>718</v>
      </c>
      <c r="H4" s="105">
        <v>586</v>
      </c>
      <c r="I4" s="105">
        <v>671</v>
      </c>
      <c r="J4" s="105">
        <v>1154</v>
      </c>
      <c r="K4" s="105">
        <v>1048</v>
      </c>
      <c r="L4" s="105">
        <v>1001</v>
      </c>
      <c r="M4" s="105">
        <v>950</v>
      </c>
      <c r="N4" s="176">
        <f t="shared" ref="N4:N22" si="0">SUM(B4:M4)</f>
        <v>9105</v>
      </c>
    </row>
    <row r="5" spans="1:14">
      <c r="A5" s="131" t="s">
        <v>27</v>
      </c>
      <c r="B5" s="107">
        <v>69</v>
      </c>
      <c r="C5" s="107">
        <v>90</v>
      </c>
      <c r="D5" s="107">
        <v>95</v>
      </c>
      <c r="E5" s="107">
        <v>72</v>
      </c>
      <c r="F5" s="107">
        <v>75</v>
      </c>
      <c r="G5" s="107">
        <v>63</v>
      </c>
      <c r="H5" s="107">
        <v>54</v>
      </c>
      <c r="I5" s="107">
        <v>74</v>
      </c>
      <c r="J5" s="107">
        <v>75</v>
      </c>
      <c r="K5" s="107">
        <v>56</v>
      </c>
      <c r="L5" s="107">
        <v>76</v>
      </c>
      <c r="M5" s="107">
        <v>99</v>
      </c>
      <c r="N5" s="177">
        <f t="shared" si="0"/>
        <v>898</v>
      </c>
    </row>
    <row r="6" spans="1:14">
      <c r="A6" s="131" t="s">
        <v>115</v>
      </c>
      <c r="B6" s="107">
        <v>1487</v>
      </c>
      <c r="C6" s="107">
        <v>1531</v>
      </c>
      <c r="D6" s="107">
        <v>1600</v>
      </c>
      <c r="E6" s="107">
        <v>1493</v>
      </c>
      <c r="F6" s="107">
        <v>1649</v>
      </c>
      <c r="G6" s="107">
        <v>1859</v>
      </c>
      <c r="H6" s="107">
        <v>2304</v>
      </c>
      <c r="I6" s="107">
        <v>2724</v>
      </c>
      <c r="J6" s="107">
        <v>2211</v>
      </c>
      <c r="K6" s="107">
        <v>2012</v>
      </c>
      <c r="L6" s="107">
        <v>1549</v>
      </c>
      <c r="M6" s="107">
        <v>1667</v>
      </c>
      <c r="N6" s="177">
        <f t="shared" si="0"/>
        <v>22086</v>
      </c>
    </row>
    <row r="7" spans="1:14">
      <c r="A7" s="131" t="s">
        <v>116</v>
      </c>
      <c r="B7" s="107">
        <v>424</v>
      </c>
      <c r="C7" s="107">
        <v>601</v>
      </c>
      <c r="D7" s="107">
        <v>646</v>
      </c>
      <c r="E7" s="107">
        <v>537</v>
      </c>
      <c r="F7" s="107">
        <v>48</v>
      </c>
      <c r="G7" s="107">
        <v>38</v>
      </c>
      <c r="H7" s="107">
        <v>35</v>
      </c>
      <c r="I7" s="107">
        <v>13</v>
      </c>
      <c r="J7" s="107">
        <v>9</v>
      </c>
      <c r="K7" s="107">
        <v>3</v>
      </c>
      <c r="L7" s="107">
        <v>397</v>
      </c>
      <c r="M7" s="107">
        <v>250</v>
      </c>
      <c r="N7" s="177">
        <f t="shared" si="0"/>
        <v>3001</v>
      </c>
    </row>
    <row r="8" spans="1:14">
      <c r="A8" s="131" t="s">
        <v>28</v>
      </c>
      <c r="B8" s="107">
        <v>466</v>
      </c>
      <c r="C8" s="107">
        <v>593</v>
      </c>
      <c r="D8" s="107">
        <v>640</v>
      </c>
      <c r="E8" s="107">
        <v>668</v>
      </c>
      <c r="F8" s="107">
        <v>451</v>
      </c>
      <c r="G8" s="107">
        <v>399</v>
      </c>
      <c r="H8" s="107">
        <v>365</v>
      </c>
      <c r="I8" s="107">
        <v>315</v>
      </c>
      <c r="J8" s="107">
        <v>480</v>
      </c>
      <c r="K8" s="107">
        <v>537</v>
      </c>
      <c r="L8" s="107">
        <v>557</v>
      </c>
      <c r="M8" s="107">
        <v>472</v>
      </c>
      <c r="N8" s="177">
        <f>SUM(B8:M8)</f>
        <v>5943</v>
      </c>
    </row>
    <row r="9" spans="1:14">
      <c r="A9" s="131" t="s">
        <v>81</v>
      </c>
      <c r="B9" s="107">
        <f>844+106</f>
        <v>950</v>
      </c>
      <c r="C9" s="107">
        <f>1217+158</f>
        <v>1375</v>
      </c>
      <c r="D9" s="107">
        <f>1263+179</f>
        <v>1442</v>
      </c>
      <c r="E9" s="107">
        <f>1148+109</f>
        <v>1257</v>
      </c>
      <c r="F9" s="107">
        <f>616+64</f>
        <v>680</v>
      </c>
      <c r="G9" s="107">
        <f>1098+69</f>
        <v>1167</v>
      </c>
      <c r="H9" s="107">
        <f>802+68</f>
        <v>870</v>
      </c>
      <c r="I9" s="107">
        <f>643+44</f>
        <v>687</v>
      </c>
      <c r="J9" s="107">
        <f>1193+218</f>
        <v>1411</v>
      </c>
      <c r="K9" s="107">
        <f>1310+177</f>
        <v>1487</v>
      </c>
      <c r="L9" s="107">
        <f>1164+168</f>
        <v>1332</v>
      </c>
      <c r="M9" s="107">
        <f>1048+73</f>
        <v>1121</v>
      </c>
      <c r="N9" s="177">
        <f>SUM(B9:M9)</f>
        <v>13779</v>
      </c>
    </row>
    <row r="10" spans="1:14" ht="25.5">
      <c r="A10" s="131" t="s">
        <v>117</v>
      </c>
      <c r="B10" s="107">
        <v>475</v>
      </c>
      <c r="C10" s="107">
        <v>666</v>
      </c>
      <c r="D10" s="107">
        <v>808</v>
      </c>
      <c r="E10" s="107">
        <v>586</v>
      </c>
      <c r="F10" s="107">
        <v>136</v>
      </c>
      <c r="G10" s="107">
        <v>121</v>
      </c>
      <c r="H10" s="107">
        <v>278</v>
      </c>
      <c r="I10" s="107">
        <v>107</v>
      </c>
      <c r="J10" s="107">
        <v>633</v>
      </c>
      <c r="K10" s="107">
        <v>580</v>
      </c>
      <c r="L10" s="107">
        <v>638</v>
      </c>
      <c r="M10" s="107">
        <v>475</v>
      </c>
      <c r="N10" s="177">
        <f>SUM(B10:M10)</f>
        <v>5503</v>
      </c>
    </row>
    <row r="11" spans="1:14">
      <c r="A11" s="131" t="s">
        <v>33</v>
      </c>
      <c r="B11" s="107" t="s">
        <v>104</v>
      </c>
      <c r="C11" s="107" t="s">
        <v>104</v>
      </c>
      <c r="D11" s="107" t="s">
        <v>104</v>
      </c>
      <c r="E11" s="107" t="s">
        <v>104</v>
      </c>
      <c r="F11" s="107" t="s">
        <v>104</v>
      </c>
      <c r="G11" s="107" t="s">
        <v>104</v>
      </c>
      <c r="H11" s="107" t="s">
        <v>104</v>
      </c>
      <c r="I11" s="107" t="s">
        <v>104</v>
      </c>
      <c r="J11" s="107" t="s">
        <v>104</v>
      </c>
      <c r="K11" s="107" t="s">
        <v>104</v>
      </c>
      <c r="L11" s="107" t="s">
        <v>104</v>
      </c>
      <c r="M11" s="107" t="s">
        <v>104</v>
      </c>
      <c r="N11" s="177" t="s">
        <v>42</v>
      </c>
    </row>
    <row r="12" spans="1:14">
      <c r="A12" s="131" t="s">
        <v>76</v>
      </c>
      <c r="B12" s="107">
        <v>402</v>
      </c>
      <c r="C12" s="107">
        <v>584</v>
      </c>
      <c r="D12" s="107">
        <v>569</v>
      </c>
      <c r="E12" s="107">
        <v>713</v>
      </c>
      <c r="F12" s="107">
        <v>693</v>
      </c>
      <c r="G12" s="107">
        <v>665</v>
      </c>
      <c r="H12" s="107">
        <v>702</v>
      </c>
      <c r="I12" s="107">
        <v>1056</v>
      </c>
      <c r="J12" s="107">
        <v>627</v>
      </c>
      <c r="K12" s="107">
        <v>877</v>
      </c>
      <c r="L12" s="107">
        <v>828</v>
      </c>
      <c r="M12" s="107">
        <f>343+266</f>
        <v>609</v>
      </c>
      <c r="N12" s="177">
        <f>SUM(B12:M12)</f>
        <v>8325</v>
      </c>
    </row>
    <row r="13" spans="1:14">
      <c r="A13" s="131" t="s">
        <v>29</v>
      </c>
      <c r="B13" s="107">
        <v>811</v>
      </c>
      <c r="C13" s="107">
        <v>768</v>
      </c>
      <c r="D13" s="107">
        <v>887</v>
      </c>
      <c r="E13" s="107">
        <v>708</v>
      </c>
      <c r="F13" s="107">
        <v>824</v>
      </c>
      <c r="G13" s="107">
        <v>708</v>
      </c>
      <c r="H13" s="107">
        <v>856</v>
      </c>
      <c r="I13" s="107">
        <v>889</v>
      </c>
      <c r="J13" s="107">
        <v>930</v>
      </c>
      <c r="K13" s="107">
        <v>974</v>
      </c>
      <c r="L13" s="107">
        <v>799</v>
      </c>
      <c r="M13" s="107">
        <v>828</v>
      </c>
      <c r="N13" s="177">
        <f t="shared" si="0"/>
        <v>9982</v>
      </c>
    </row>
    <row r="14" spans="1:14">
      <c r="A14" s="3" t="s">
        <v>34</v>
      </c>
      <c r="B14" s="107">
        <v>0</v>
      </c>
      <c r="C14" s="107">
        <v>0</v>
      </c>
      <c r="D14" s="107">
        <v>0</v>
      </c>
      <c r="E14" s="107">
        <v>0</v>
      </c>
      <c r="F14" s="107">
        <v>0</v>
      </c>
      <c r="G14" s="107">
        <v>0</v>
      </c>
      <c r="H14" s="107">
        <v>976</v>
      </c>
      <c r="I14" s="107">
        <v>0</v>
      </c>
      <c r="J14" s="107">
        <v>2970</v>
      </c>
      <c r="K14" s="107">
        <v>12</v>
      </c>
      <c r="L14" s="107">
        <v>0</v>
      </c>
      <c r="M14" s="107">
        <v>0</v>
      </c>
      <c r="N14" s="177">
        <f>SUM(B14:M14)</f>
        <v>3958</v>
      </c>
    </row>
    <row r="15" spans="1:14">
      <c r="A15" s="131" t="s">
        <v>119</v>
      </c>
      <c r="B15" s="107">
        <v>3</v>
      </c>
      <c r="C15" s="107">
        <v>3</v>
      </c>
      <c r="D15" s="107">
        <v>4</v>
      </c>
      <c r="E15" s="107">
        <v>2</v>
      </c>
      <c r="F15" s="107">
        <v>1</v>
      </c>
      <c r="G15" s="107">
        <v>0</v>
      </c>
      <c r="H15" s="107">
        <v>1</v>
      </c>
      <c r="I15" s="107">
        <v>2</v>
      </c>
      <c r="J15" s="107">
        <v>4</v>
      </c>
      <c r="K15" s="107">
        <v>21</v>
      </c>
      <c r="L15" s="107">
        <v>10</v>
      </c>
      <c r="M15" s="107">
        <v>18</v>
      </c>
      <c r="N15" s="177">
        <f t="shared" si="0"/>
        <v>69</v>
      </c>
    </row>
    <row r="16" spans="1:14">
      <c r="A16" s="131" t="s">
        <v>2</v>
      </c>
      <c r="B16" s="107">
        <v>122</v>
      </c>
      <c r="C16" s="107">
        <v>150</v>
      </c>
      <c r="D16" s="107">
        <v>130</v>
      </c>
      <c r="E16" s="107">
        <v>161</v>
      </c>
      <c r="F16" s="107">
        <v>188</v>
      </c>
      <c r="G16" s="107">
        <v>189</v>
      </c>
      <c r="H16" s="107">
        <v>223</v>
      </c>
      <c r="I16" s="107">
        <v>257</v>
      </c>
      <c r="J16" s="107">
        <v>256</v>
      </c>
      <c r="K16" s="107">
        <v>288</v>
      </c>
      <c r="L16" s="107">
        <v>125</v>
      </c>
      <c r="M16" s="107">
        <v>113</v>
      </c>
      <c r="N16" s="177">
        <f t="shared" si="0"/>
        <v>2202</v>
      </c>
    </row>
    <row r="17" spans="1:14">
      <c r="A17" s="131" t="s">
        <v>30</v>
      </c>
      <c r="B17" s="107">
        <v>0</v>
      </c>
      <c r="C17" s="107">
        <v>0</v>
      </c>
      <c r="D17" s="107">
        <v>0</v>
      </c>
      <c r="E17" s="107">
        <v>0</v>
      </c>
      <c r="F17" s="107">
        <v>0</v>
      </c>
      <c r="G17" s="107">
        <v>0</v>
      </c>
      <c r="H17" s="107">
        <v>0</v>
      </c>
      <c r="I17" s="107">
        <v>0</v>
      </c>
      <c r="J17" s="107">
        <v>0</v>
      </c>
      <c r="K17" s="107">
        <v>0</v>
      </c>
      <c r="L17" s="107">
        <v>0</v>
      </c>
      <c r="M17" s="107">
        <v>0</v>
      </c>
      <c r="N17" s="177">
        <f t="shared" si="0"/>
        <v>0</v>
      </c>
    </row>
    <row r="18" spans="1:14">
      <c r="A18" s="131" t="s">
        <v>120</v>
      </c>
      <c r="B18" s="107">
        <v>632</v>
      </c>
      <c r="C18" s="107">
        <v>715</v>
      </c>
      <c r="D18" s="107">
        <v>804</v>
      </c>
      <c r="E18" s="107">
        <v>682</v>
      </c>
      <c r="F18" s="107">
        <v>533</v>
      </c>
      <c r="G18" s="107">
        <v>592</v>
      </c>
      <c r="H18" s="107">
        <v>493</v>
      </c>
      <c r="I18" s="107">
        <v>520</v>
      </c>
      <c r="J18" s="107">
        <v>1155</v>
      </c>
      <c r="K18" s="107">
        <v>1048</v>
      </c>
      <c r="L18" s="107">
        <v>1001</v>
      </c>
      <c r="M18" s="107">
        <v>819</v>
      </c>
      <c r="N18" s="177">
        <f t="shared" si="0"/>
        <v>8994</v>
      </c>
    </row>
    <row r="19" spans="1:14" ht="25.5">
      <c r="A19" s="131" t="s">
        <v>122</v>
      </c>
      <c r="B19" s="107">
        <v>461</v>
      </c>
      <c r="C19" s="107">
        <v>558</v>
      </c>
      <c r="D19" s="107">
        <v>674</v>
      </c>
      <c r="E19" s="107">
        <v>589</v>
      </c>
      <c r="F19" s="107">
        <v>223</v>
      </c>
      <c r="G19" s="107">
        <v>108</v>
      </c>
      <c r="H19" s="107">
        <v>163</v>
      </c>
      <c r="I19" s="107">
        <v>52</v>
      </c>
      <c r="J19" s="107">
        <v>491</v>
      </c>
      <c r="K19" s="107">
        <v>707</v>
      </c>
      <c r="L19" s="107">
        <v>790</v>
      </c>
      <c r="M19" s="107">
        <v>507</v>
      </c>
      <c r="N19" s="177">
        <f t="shared" si="0"/>
        <v>5323</v>
      </c>
    </row>
    <row r="20" spans="1:14" ht="25.5">
      <c r="A20" s="131" t="s">
        <v>121</v>
      </c>
      <c r="B20" s="107">
        <v>395</v>
      </c>
      <c r="C20" s="107">
        <v>549</v>
      </c>
      <c r="D20" s="107">
        <v>664</v>
      </c>
      <c r="E20" s="107">
        <v>567</v>
      </c>
      <c r="F20" s="107">
        <v>115</v>
      </c>
      <c r="G20" s="107">
        <v>104</v>
      </c>
      <c r="H20" s="107">
        <v>63</v>
      </c>
      <c r="I20" s="107">
        <v>189</v>
      </c>
      <c r="J20" s="107">
        <v>417</v>
      </c>
      <c r="K20" s="107">
        <v>430</v>
      </c>
      <c r="L20" s="107">
        <v>441</v>
      </c>
      <c r="M20" s="107">
        <v>356</v>
      </c>
      <c r="N20" s="177">
        <f t="shared" si="0"/>
        <v>4290</v>
      </c>
    </row>
    <row r="21" spans="1:14">
      <c r="A21" s="131" t="s">
        <v>31</v>
      </c>
      <c r="B21" s="107">
        <f>760+128</f>
        <v>888</v>
      </c>
      <c r="C21" s="107">
        <v>82</v>
      </c>
      <c r="D21" s="107">
        <v>42</v>
      </c>
      <c r="E21" s="107">
        <v>15</v>
      </c>
      <c r="F21" s="107">
        <v>2</v>
      </c>
      <c r="G21" s="107">
        <v>5</v>
      </c>
      <c r="H21" s="107">
        <v>1</v>
      </c>
      <c r="I21" s="107">
        <v>4</v>
      </c>
      <c r="J21" s="107">
        <v>18</v>
      </c>
      <c r="K21" s="107">
        <v>15</v>
      </c>
      <c r="L21" s="107">
        <v>14</v>
      </c>
      <c r="M21" s="107">
        <v>7</v>
      </c>
      <c r="N21" s="177">
        <f t="shared" si="0"/>
        <v>1093</v>
      </c>
    </row>
    <row r="22" spans="1:14" ht="15.75" thickBot="1">
      <c r="A22" s="3" t="s">
        <v>23</v>
      </c>
      <c r="B22" s="156">
        <v>192</v>
      </c>
      <c r="C22" s="156">
        <v>211</v>
      </c>
      <c r="D22" s="156">
        <v>210</v>
      </c>
      <c r="E22" s="156">
        <v>185</v>
      </c>
      <c r="F22" s="156">
        <v>201</v>
      </c>
      <c r="G22" s="156">
        <v>218</v>
      </c>
      <c r="H22" s="156">
        <v>240</v>
      </c>
      <c r="I22" s="156">
        <v>261</v>
      </c>
      <c r="J22" s="156">
        <v>229</v>
      </c>
      <c r="K22" s="156">
        <v>159</v>
      </c>
      <c r="L22" s="156">
        <v>123</v>
      </c>
      <c r="M22" s="156">
        <v>115</v>
      </c>
      <c r="N22" s="180">
        <f t="shared" si="0"/>
        <v>2344</v>
      </c>
    </row>
    <row r="23" spans="1:14" ht="16.5" thickTop="1" thickBot="1">
      <c r="A23" s="122" t="s">
        <v>45</v>
      </c>
      <c r="B23" s="239">
        <f>SUM(B4:B22)</f>
        <v>8339</v>
      </c>
      <c r="C23" s="239">
        <f>SUM(C4:C22)</f>
        <v>9108</v>
      </c>
      <c r="D23" s="239">
        <f>SUM(D4:D22)</f>
        <v>9716</v>
      </c>
      <c r="E23" s="239">
        <f>SUM(E4:E22)</f>
        <v>8861</v>
      </c>
      <c r="F23" s="239">
        <f>SUM(M4:M22)</f>
        <v>8406</v>
      </c>
      <c r="G23" s="239">
        <f t="shared" ref="G23:N23" si="1">SUM(G4:G22)</f>
        <v>6954</v>
      </c>
      <c r="H23" s="239">
        <f t="shared" si="1"/>
        <v>8210</v>
      </c>
      <c r="I23" s="239">
        <f t="shared" si="1"/>
        <v>7821</v>
      </c>
      <c r="J23" s="239">
        <f t="shared" si="1"/>
        <v>13070</v>
      </c>
      <c r="K23" s="239">
        <f t="shared" si="1"/>
        <v>10254</v>
      </c>
      <c r="L23" s="239">
        <f t="shared" si="1"/>
        <v>9681</v>
      </c>
      <c r="M23" s="239">
        <f t="shared" si="1"/>
        <v>8406</v>
      </c>
      <c r="N23" s="240">
        <f t="shared" si="1"/>
        <v>106895</v>
      </c>
    </row>
    <row r="24" spans="1:14">
      <c r="A24" s="6"/>
      <c r="B24" s="182"/>
      <c r="C24" s="182"/>
      <c r="D24" s="182"/>
      <c r="E24" s="182"/>
      <c r="F24" s="182"/>
      <c r="G24" s="182"/>
      <c r="H24" s="182"/>
      <c r="I24" s="182"/>
      <c r="J24" s="182"/>
      <c r="K24" s="182"/>
      <c r="L24" s="182"/>
      <c r="M24" s="182"/>
      <c r="N24" s="182"/>
    </row>
    <row r="25" spans="1:14" ht="15.75" thickBot="1">
      <c r="A25" s="6" t="s">
        <v>15</v>
      </c>
      <c r="B25" s="182"/>
      <c r="C25" s="182"/>
      <c r="D25" s="182"/>
      <c r="E25" s="182"/>
      <c r="F25" s="182"/>
      <c r="G25" s="182"/>
      <c r="H25" s="182"/>
      <c r="I25" s="182"/>
      <c r="J25" s="182"/>
      <c r="K25" s="182"/>
      <c r="L25" s="182"/>
      <c r="M25" s="182"/>
      <c r="N25" s="182"/>
    </row>
    <row r="26" spans="1:14">
      <c r="A26" s="133" t="s">
        <v>105</v>
      </c>
      <c r="B26" s="105">
        <v>26</v>
      </c>
      <c r="C26" s="105">
        <v>77</v>
      </c>
      <c r="D26" s="105">
        <v>60</v>
      </c>
      <c r="E26" s="105">
        <v>62</v>
      </c>
      <c r="F26" s="105">
        <v>30</v>
      </c>
      <c r="G26" s="105">
        <v>0</v>
      </c>
      <c r="H26" s="105">
        <v>0</v>
      </c>
      <c r="I26" s="105">
        <v>1</v>
      </c>
      <c r="J26" s="105">
        <v>6</v>
      </c>
      <c r="K26" s="105">
        <v>5</v>
      </c>
      <c r="L26" s="105">
        <v>6</v>
      </c>
      <c r="M26" s="105">
        <v>6</v>
      </c>
      <c r="N26" s="176">
        <f t="shared" ref="N26:N34" si="2">SUM(B26:M26)</f>
        <v>279</v>
      </c>
    </row>
    <row r="27" spans="1:14">
      <c r="A27" s="132" t="s">
        <v>85</v>
      </c>
      <c r="B27" s="107" t="s">
        <v>104</v>
      </c>
      <c r="C27" s="107" t="s">
        <v>104</v>
      </c>
      <c r="D27" s="107" t="s">
        <v>104</v>
      </c>
      <c r="E27" s="107" t="s">
        <v>104</v>
      </c>
      <c r="F27" s="107" t="s">
        <v>104</v>
      </c>
      <c r="G27" s="107" t="s">
        <v>104</v>
      </c>
      <c r="H27" s="107" t="s">
        <v>104</v>
      </c>
      <c r="I27" s="107" t="s">
        <v>104</v>
      </c>
      <c r="J27" s="107" t="s">
        <v>104</v>
      </c>
      <c r="K27" s="107" t="s">
        <v>104</v>
      </c>
      <c r="L27" s="107" t="s">
        <v>104</v>
      </c>
      <c r="M27" s="107" t="s">
        <v>104</v>
      </c>
      <c r="N27" s="177">
        <f t="shared" si="2"/>
        <v>0</v>
      </c>
    </row>
    <row r="28" spans="1:14">
      <c r="A28" s="132" t="s">
        <v>107</v>
      </c>
      <c r="B28" s="107">
        <v>255</v>
      </c>
      <c r="C28" s="107">
        <v>412</v>
      </c>
      <c r="D28" s="107">
        <v>279</v>
      </c>
      <c r="E28" s="107">
        <v>273</v>
      </c>
      <c r="F28" s="107">
        <v>133</v>
      </c>
      <c r="G28" s="107">
        <v>13</v>
      </c>
      <c r="H28" s="107">
        <v>31</v>
      </c>
      <c r="I28" s="107">
        <v>24</v>
      </c>
      <c r="J28" s="107">
        <v>22</v>
      </c>
      <c r="K28" s="107">
        <v>27</v>
      </c>
      <c r="L28" s="107">
        <v>29</v>
      </c>
      <c r="M28" s="107">
        <v>30</v>
      </c>
      <c r="N28" s="177">
        <f t="shared" si="2"/>
        <v>1528</v>
      </c>
    </row>
    <row r="29" spans="1:14">
      <c r="A29" s="132" t="s">
        <v>108</v>
      </c>
      <c r="B29" s="107">
        <v>161</v>
      </c>
      <c r="C29" s="107">
        <v>388</v>
      </c>
      <c r="D29" s="107">
        <v>293</v>
      </c>
      <c r="E29" s="107">
        <v>346</v>
      </c>
      <c r="F29" s="107">
        <v>227</v>
      </c>
      <c r="G29" s="107">
        <v>58</v>
      </c>
      <c r="H29" s="107">
        <v>8</v>
      </c>
      <c r="I29" s="107">
        <v>6</v>
      </c>
      <c r="J29" s="107">
        <v>8</v>
      </c>
      <c r="K29" s="107">
        <v>8</v>
      </c>
      <c r="L29" s="107">
        <v>10</v>
      </c>
      <c r="M29" s="107">
        <v>10</v>
      </c>
      <c r="N29" s="177">
        <f t="shared" si="2"/>
        <v>1523</v>
      </c>
    </row>
    <row r="30" spans="1:14">
      <c r="A30" s="132" t="s">
        <v>87</v>
      </c>
      <c r="B30" s="107">
        <v>1773</v>
      </c>
      <c r="C30" s="107">
        <v>400</v>
      </c>
      <c r="D30" s="107"/>
      <c r="E30" s="107">
        <v>212</v>
      </c>
      <c r="F30" s="107">
        <v>173</v>
      </c>
      <c r="G30" s="107">
        <v>12</v>
      </c>
      <c r="H30" s="107"/>
      <c r="I30" s="107">
        <v>2</v>
      </c>
      <c r="J30" s="107"/>
      <c r="K30" s="107">
        <v>26</v>
      </c>
      <c r="L30" s="107">
        <v>25</v>
      </c>
      <c r="M30" s="107">
        <v>25</v>
      </c>
      <c r="N30" s="177">
        <f t="shared" si="2"/>
        <v>2648</v>
      </c>
    </row>
    <row r="31" spans="1:14">
      <c r="A31" s="132" t="s">
        <v>88</v>
      </c>
      <c r="B31" s="107">
        <v>62</v>
      </c>
      <c r="C31" s="107">
        <v>55</v>
      </c>
      <c r="D31" s="107">
        <v>268</v>
      </c>
      <c r="E31" s="107">
        <v>66</v>
      </c>
      <c r="F31" s="107">
        <v>47</v>
      </c>
      <c r="G31" s="107">
        <v>36</v>
      </c>
      <c r="H31" s="107">
        <v>70</v>
      </c>
      <c r="I31" s="107">
        <v>47</v>
      </c>
      <c r="J31" s="107">
        <v>97</v>
      </c>
      <c r="K31" s="107">
        <v>53</v>
      </c>
      <c r="L31" s="107">
        <v>71</v>
      </c>
      <c r="M31" s="107">
        <v>51</v>
      </c>
      <c r="N31" s="177">
        <f t="shared" si="2"/>
        <v>923</v>
      </c>
    </row>
    <row r="32" spans="1:14">
      <c r="A32" s="132" t="s">
        <v>109</v>
      </c>
      <c r="B32" s="107" t="s">
        <v>104</v>
      </c>
      <c r="C32" s="107" t="s">
        <v>104</v>
      </c>
      <c r="D32" s="107" t="s">
        <v>104</v>
      </c>
      <c r="E32" s="107" t="s">
        <v>104</v>
      </c>
      <c r="F32" s="107" t="s">
        <v>104</v>
      </c>
      <c r="G32" s="107" t="s">
        <v>104</v>
      </c>
      <c r="H32" s="107" t="s">
        <v>104</v>
      </c>
      <c r="I32" s="107" t="s">
        <v>104</v>
      </c>
      <c r="J32" s="107" t="s">
        <v>104</v>
      </c>
      <c r="K32" s="107" t="s">
        <v>104</v>
      </c>
      <c r="L32" s="107" t="s">
        <v>104</v>
      </c>
      <c r="M32" s="107" t="s">
        <v>104</v>
      </c>
      <c r="N32" s="177">
        <f t="shared" si="2"/>
        <v>0</v>
      </c>
    </row>
    <row r="33" spans="1:14">
      <c r="A33" s="3" t="s">
        <v>93</v>
      </c>
      <c r="B33" s="107">
        <v>3</v>
      </c>
      <c r="C33" s="107">
        <v>39</v>
      </c>
      <c r="D33" s="107">
        <v>72</v>
      </c>
      <c r="E33" s="107">
        <v>40</v>
      </c>
      <c r="F33" s="107">
        <v>18</v>
      </c>
      <c r="G33" s="107">
        <v>34</v>
      </c>
      <c r="H33" s="107">
        <v>86</v>
      </c>
      <c r="I33" s="107">
        <v>110</v>
      </c>
      <c r="J33" s="107">
        <v>110</v>
      </c>
      <c r="K33" s="107">
        <v>105</v>
      </c>
      <c r="L33" s="107">
        <v>143</v>
      </c>
      <c r="M33" s="107">
        <v>107</v>
      </c>
      <c r="N33" s="177">
        <f t="shared" si="2"/>
        <v>867</v>
      </c>
    </row>
    <row r="34" spans="1:14" ht="15.75" thickBot="1">
      <c r="A34" s="3" t="s">
        <v>102</v>
      </c>
      <c r="B34" s="156">
        <v>107</v>
      </c>
      <c r="C34" s="156">
        <v>259</v>
      </c>
      <c r="D34" s="156">
        <v>207</v>
      </c>
      <c r="E34" s="156">
        <v>236</v>
      </c>
      <c r="F34" s="156">
        <v>162</v>
      </c>
      <c r="G34" s="156">
        <v>76</v>
      </c>
      <c r="H34" s="156">
        <v>45</v>
      </c>
      <c r="I34" s="156">
        <v>40</v>
      </c>
      <c r="J34" s="156">
        <v>47</v>
      </c>
      <c r="K34" s="156">
        <v>38</v>
      </c>
      <c r="L34" s="156">
        <v>197</v>
      </c>
      <c r="M34" s="156">
        <v>200</v>
      </c>
      <c r="N34" s="180">
        <f t="shared" si="2"/>
        <v>1614</v>
      </c>
    </row>
    <row r="35" spans="1:14" ht="16.5" thickTop="1" thickBot="1">
      <c r="A35" s="122" t="s">
        <v>46</v>
      </c>
      <c r="B35" s="241">
        <f t="shared" ref="B35:M35" si="3">SUM(B26:B34)</f>
        <v>2387</v>
      </c>
      <c r="C35" s="241">
        <f t="shared" si="3"/>
        <v>1630</v>
      </c>
      <c r="D35" s="241">
        <f t="shared" si="3"/>
        <v>1179</v>
      </c>
      <c r="E35" s="241">
        <f t="shared" si="3"/>
        <v>1235</v>
      </c>
      <c r="F35" s="241">
        <f t="shared" si="3"/>
        <v>790</v>
      </c>
      <c r="G35" s="241">
        <f t="shared" si="3"/>
        <v>229</v>
      </c>
      <c r="H35" s="241">
        <f t="shared" si="3"/>
        <v>240</v>
      </c>
      <c r="I35" s="241">
        <f t="shared" si="3"/>
        <v>230</v>
      </c>
      <c r="J35" s="241">
        <f t="shared" si="3"/>
        <v>290</v>
      </c>
      <c r="K35" s="241">
        <f t="shared" si="3"/>
        <v>262</v>
      </c>
      <c r="L35" s="241">
        <f t="shared" si="3"/>
        <v>481</v>
      </c>
      <c r="M35" s="241">
        <f t="shared" si="3"/>
        <v>429</v>
      </c>
      <c r="N35" s="240">
        <f t="shared" ref="N35" si="4">SUM(B35:M35)</f>
        <v>9382</v>
      </c>
    </row>
    <row r="36" spans="1:14" ht="15.75" thickBot="1">
      <c r="A36" s="6"/>
      <c r="B36" s="159"/>
      <c r="C36" s="159"/>
      <c r="D36" s="159"/>
      <c r="E36" s="159"/>
      <c r="F36" s="159"/>
      <c r="G36" s="159"/>
      <c r="H36" s="159"/>
      <c r="I36" s="159"/>
      <c r="J36" s="159"/>
      <c r="K36" s="159"/>
      <c r="L36" s="159"/>
      <c r="M36" s="159"/>
      <c r="N36" s="183"/>
    </row>
    <row r="37" spans="1:14" ht="15.75" thickBot="1">
      <c r="A37" s="123" t="s">
        <v>67</v>
      </c>
      <c r="B37" s="242">
        <f t="shared" ref="B37:N37" si="5">B23+B35</f>
        <v>10726</v>
      </c>
      <c r="C37" s="242">
        <f t="shared" si="5"/>
        <v>10738</v>
      </c>
      <c r="D37" s="242">
        <f t="shared" si="5"/>
        <v>10895</v>
      </c>
      <c r="E37" s="242">
        <f t="shared" si="5"/>
        <v>10096</v>
      </c>
      <c r="F37" s="242">
        <f t="shared" si="5"/>
        <v>9196</v>
      </c>
      <c r="G37" s="242">
        <f t="shared" si="5"/>
        <v>7183</v>
      </c>
      <c r="H37" s="242">
        <f t="shared" si="5"/>
        <v>8450</v>
      </c>
      <c r="I37" s="242">
        <f t="shared" si="5"/>
        <v>8051</v>
      </c>
      <c r="J37" s="242">
        <f t="shared" si="5"/>
        <v>13360</v>
      </c>
      <c r="K37" s="242">
        <f t="shared" si="5"/>
        <v>10516</v>
      </c>
      <c r="L37" s="242">
        <f t="shared" si="5"/>
        <v>10162</v>
      </c>
      <c r="M37" s="242">
        <f t="shared" si="5"/>
        <v>8835</v>
      </c>
      <c r="N37" s="243">
        <f t="shared" si="5"/>
        <v>116277</v>
      </c>
    </row>
  </sheetData>
  <pageMargins left="0.7" right="0.7" top="0.75" bottom="0.75" header="0.3" footer="0.3"/>
  <pageSetup scale="8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N41"/>
  <sheetViews>
    <sheetView showGridLines="0" topLeftCell="A19" workbookViewId="0">
      <selection activeCell="N1" sqref="N1"/>
    </sheetView>
  </sheetViews>
  <sheetFormatPr defaultColWidth="8.85546875" defaultRowHeight="16.5" customHeight="1"/>
  <cols>
    <col min="1" max="1" width="22.42578125" style="17" customWidth="1"/>
    <col min="2" max="16384" width="8.85546875" style="17"/>
  </cols>
  <sheetData>
    <row r="1" spans="1:14" ht="16.5" customHeight="1" thickBot="1">
      <c r="A1" s="116" t="s">
        <v>0</v>
      </c>
      <c r="B1" s="117">
        <v>39814</v>
      </c>
      <c r="C1" s="117">
        <v>39845</v>
      </c>
      <c r="D1" s="117">
        <v>39873</v>
      </c>
      <c r="E1" s="117">
        <v>39904</v>
      </c>
      <c r="F1" s="117">
        <v>39934</v>
      </c>
      <c r="G1" s="117">
        <v>39965</v>
      </c>
      <c r="H1" s="117">
        <v>39995</v>
      </c>
      <c r="I1" s="117">
        <v>40026</v>
      </c>
      <c r="J1" s="117">
        <v>40057</v>
      </c>
      <c r="K1" s="117">
        <v>40087</v>
      </c>
      <c r="L1" s="117">
        <v>40118</v>
      </c>
      <c r="M1" s="117">
        <v>40148</v>
      </c>
      <c r="N1" s="118" t="s">
        <v>131</v>
      </c>
    </row>
    <row r="2" spans="1:14" ht="16.5" customHeight="1">
      <c r="A2" s="6"/>
      <c r="B2" s="30"/>
      <c r="C2" s="30"/>
      <c r="D2" s="30"/>
      <c r="E2" s="30"/>
      <c r="F2" s="30"/>
      <c r="G2" s="30"/>
      <c r="H2" s="30"/>
      <c r="I2" s="30"/>
      <c r="J2" s="30"/>
      <c r="K2" s="30"/>
      <c r="L2" s="30"/>
      <c r="M2" s="30"/>
      <c r="N2" s="4"/>
    </row>
    <row r="3" spans="1:14" ht="16.5" customHeight="1" thickBot="1">
      <c r="A3" s="6" t="s">
        <v>51</v>
      </c>
      <c r="B3" s="30"/>
      <c r="C3" s="30"/>
      <c r="D3" s="30"/>
      <c r="E3" s="30"/>
      <c r="F3" s="30"/>
      <c r="G3" s="30"/>
      <c r="H3" s="30"/>
      <c r="I3" s="30"/>
      <c r="J3" s="30"/>
      <c r="K3" s="30"/>
      <c r="L3" s="30"/>
      <c r="M3" s="30"/>
      <c r="N3" s="4"/>
    </row>
    <row r="4" spans="1:14" ht="16.5" customHeight="1">
      <c r="A4" s="138" t="s">
        <v>24</v>
      </c>
      <c r="B4" s="105">
        <v>859</v>
      </c>
      <c r="C4" s="105">
        <v>1001</v>
      </c>
      <c r="D4" s="105">
        <v>869</v>
      </c>
      <c r="E4" s="105">
        <v>902</v>
      </c>
      <c r="F4" s="105">
        <v>784</v>
      </c>
      <c r="G4" s="105">
        <v>618</v>
      </c>
      <c r="H4" s="105">
        <v>5</v>
      </c>
      <c r="I4" s="105">
        <v>0</v>
      </c>
      <c r="J4" s="105">
        <v>924</v>
      </c>
      <c r="K4" s="105">
        <v>1000</v>
      </c>
      <c r="L4" s="105">
        <v>601</v>
      </c>
      <c r="M4" s="105">
        <v>506</v>
      </c>
      <c r="N4" s="176">
        <f>SUM(B4:M4)</f>
        <v>8069</v>
      </c>
    </row>
    <row r="5" spans="1:14" ht="16.5" customHeight="1">
      <c r="A5" s="139" t="s">
        <v>27</v>
      </c>
      <c r="B5" s="107">
        <v>15</v>
      </c>
      <c r="C5" s="107">
        <v>96</v>
      </c>
      <c r="D5" s="107">
        <v>93</v>
      </c>
      <c r="E5" s="107">
        <v>100</v>
      </c>
      <c r="F5" s="107">
        <v>80</v>
      </c>
      <c r="G5" s="107">
        <v>79</v>
      </c>
      <c r="H5" s="107">
        <v>120</v>
      </c>
      <c r="I5" s="107">
        <v>88</v>
      </c>
      <c r="J5" s="107">
        <v>83</v>
      </c>
      <c r="K5" s="107">
        <v>117</v>
      </c>
      <c r="L5" s="107">
        <v>153</v>
      </c>
      <c r="M5" s="107">
        <v>83</v>
      </c>
      <c r="N5" s="177">
        <f t="shared" ref="N5:N22" si="0">SUM(B5:M5)</f>
        <v>1107</v>
      </c>
    </row>
    <row r="6" spans="1:14" ht="16.5" customHeight="1">
      <c r="A6" s="139" t="s">
        <v>115</v>
      </c>
      <c r="B6" s="107">
        <v>1493</v>
      </c>
      <c r="C6" s="107">
        <v>1319</v>
      </c>
      <c r="D6" s="107">
        <v>1257</v>
      </c>
      <c r="E6" s="107">
        <v>1459</v>
      </c>
      <c r="F6" s="107">
        <v>1527</v>
      </c>
      <c r="G6" s="107">
        <f>743+1367</f>
        <v>2110</v>
      </c>
      <c r="H6" s="107">
        <v>2941</v>
      </c>
      <c r="I6" s="107">
        <v>2874</v>
      </c>
      <c r="J6" s="107">
        <v>2651</v>
      </c>
      <c r="K6" s="107">
        <v>2057</v>
      </c>
      <c r="L6" s="107">
        <v>1918</v>
      </c>
      <c r="M6" s="107">
        <v>1834</v>
      </c>
      <c r="N6" s="177">
        <f t="shared" si="0"/>
        <v>23440</v>
      </c>
    </row>
    <row r="7" spans="1:14" ht="30">
      <c r="A7" s="139" t="s">
        <v>116</v>
      </c>
      <c r="B7" s="107">
        <v>457</v>
      </c>
      <c r="C7" s="107">
        <v>438</v>
      </c>
      <c r="D7" s="107">
        <v>443</v>
      </c>
      <c r="E7" s="107">
        <v>486</v>
      </c>
      <c r="F7" s="107">
        <v>85</v>
      </c>
      <c r="G7" s="107">
        <v>130</v>
      </c>
      <c r="H7" s="107">
        <v>164</v>
      </c>
      <c r="I7" s="107">
        <v>97</v>
      </c>
      <c r="J7" s="107">
        <v>364</v>
      </c>
      <c r="K7" s="107">
        <v>414</v>
      </c>
      <c r="L7" s="107">
        <v>420</v>
      </c>
      <c r="M7" s="107">
        <v>400</v>
      </c>
      <c r="N7" s="177">
        <f t="shared" si="0"/>
        <v>3898</v>
      </c>
    </row>
    <row r="8" spans="1:14" ht="16.5" customHeight="1">
      <c r="A8" s="139" t="s">
        <v>28</v>
      </c>
      <c r="B8" s="107">
        <v>330</v>
      </c>
      <c r="C8" s="107">
        <v>423</v>
      </c>
      <c r="D8" s="107">
        <v>466</v>
      </c>
      <c r="E8" s="107">
        <v>550</v>
      </c>
      <c r="F8" s="107">
        <v>235</v>
      </c>
      <c r="G8" s="107">
        <v>347</v>
      </c>
      <c r="H8" s="107">
        <v>274</v>
      </c>
      <c r="I8" s="107">
        <v>246</v>
      </c>
      <c r="J8" s="107">
        <v>317</v>
      </c>
      <c r="K8" s="107">
        <v>447</v>
      </c>
      <c r="L8" s="107">
        <v>509</v>
      </c>
      <c r="M8" s="107">
        <v>629</v>
      </c>
      <c r="N8" s="177">
        <f>SUM(B8:M8)</f>
        <v>4773</v>
      </c>
    </row>
    <row r="9" spans="1:14" ht="16.5" customHeight="1">
      <c r="A9" s="139" t="s">
        <v>81</v>
      </c>
      <c r="B9" s="107">
        <f>934+114</f>
        <v>1048</v>
      </c>
      <c r="C9" s="107">
        <f>1068+141</f>
        <v>1209</v>
      </c>
      <c r="D9" s="107">
        <f>1167+135</f>
        <v>1302</v>
      </c>
      <c r="E9" s="107">
        <f>1115+107</f>
        <v>1222</v>
      </c>
      <c r="F9" s="107">
        <f>436+32</f>
        <v>468</v>
      </c>
      <c r="G9" s="107">
        <f>649+39</f>
        <v>688</v>
      </c>
      <c r="H9" s="107">
        <f>819+89</f>
        <v>908</v>
      </c>
      <c r="I9" s="107">
        <f>693+33</f>
        <v>726</v>
      </c>
      <c r="J9" s="107">
        <f>1117+181</f>
        <v>1298</v>
      </c>
      <c r="K9" s="107">
        <f>1203+174</f>
        <v>1377</v>
      </c>
      <c r="L9" s="107">
        <f>1218+169</f>
        <v>1387</v>
      </c>
      <c r="M9" s="107">
        <f>964+95</f>
        <v>1059</v>
      </c>
      <c r="N9" s="177">
        <f>SUM(B9:M9)</f>
        <v>12692</v>
      </c>
    </row>
    <row r="10" spans="1:14" ht="30">
      <c r="A10" s="139" t="s">
        <v>117</v>
      </c>
      <c r="B10" s="107">
        <v>594</v>
      </c>
      <c r="C10" s="107">
        <v>597</v>
      </c>
      <c r="D10" s="107">
        <v>643</v>
      </c>
      <c r="E10" s="107">
        <v>619</v>
      </c>
      <c r="F10" s="107">
        <v>27</v>
      </c>
      <c r="G10" s="107">
        <v>92</v>
      </c>
      <c r="H10" s="107">
        <v>139</v>
      </c>
      <c r="I10" s="107">
        <v>135</v>
      </c>
      <c r="J10" s="107">
        <v>416</v>
      </c>
      <c r="K10" s="107">
        <v>402</v>
      </c>
      <c r="L10" s="107">
        <v>434</v>
      </c>
      <c r="M10" s="107">
        <v>430</v>
      </c>
      <c r="N10" s="177">
        <f>SUM(B10:M10)</f>
        <v>4528</v>
      </c>
    </row>
    <row r="11" spans="1:14" ht="16.5" customHeight="1">
      <c r="A11" s="139" t="s">
        <v>33</v>
      </c>
      <c r="B11" s="107" t="s">
        <v>104</v>
      </c>
      <c r="C11" s="107" t="s">
        <v>104</v>
      </c>
      <c r="D11" s="107" t="s">
        <v>104</v>
      </c>
      <c r="E11" s="107" t="s">
        <v>104</v>
      </c>
      <c r="F11" s="107" t="s">
        <v>104</v>
      </c>
      <c r="G11" s="107" t="s">
        <v>104</v>
      </c>
      <c r="H11" s="107" t="s">
        <v>104</v>
      </c>
      <c r="I11" s="107" t="s">
        <v>104</v>
      </c>
      <c r="J11" s="107" t="s">
        <v>104</v>
      </c>
      <c r="K11" s="107" t="s">
        <v>104</v>
      </c>
      <c r="L11" s="107" t="s">
        <v>104</v>
      </c>
      <c r="M11" s="107" t="s">
        <v>104</v>
      </c>
      <c r="N11" s="177" t="s">
        <v>42</v>
      </c>
    </row>
    <row r="12" spans="1:14" ht="16.5" customHeight="1">
      <c r="A12" s="139" t="s">
        <v>76</v>
      </c>
      <c r="B12" s="107">
        <v>587</v>
      </c>
      <c r="C12" s="107">
        <v>640</v>
      </c>
      <c r="D12" s="107">
        <v>711</v>
      </c>
      <c r="E12" s="107">
        <v>702</v>
      </c>
      <c r="F12" s="107">
        <v>322</v>
      </c>
      <c r="G12" s="107">
        <v>481</v>
      </c>
      <c r="H12" s="107">
        <v>597</v>
      </c>
      <c r="I12" s="107">
        <v>564</v>
      </c>
      <c r="J12" s="107">
        <v>987</v>
      </c>
      <c r="K12" s="107">
        <v>667</v>
      </c>
      <c r="L12" s="107">
        <v>606</v>
      </c>
      <c r="M12" s="107">
        <v>532</v>
      </c>
      <c r="N12" s="177">
        <f>SUM(B12:M12)</f>
        <v>7396</v>
      </c>
    </row>
    <row r="13" spans="1:14" ht="16.5" customHeight="1">
      <c r="A13" s="139" t="s">
        <v>29</v>
      </c>
      <c r="B13" s="107">
        <v>763</v>
      </c>
      <c r="C13" s="107">
        <v>925</v>
      </c>
      <c r="D13" s="107">
        <v>856</v>
      </c>
      <c r="E13" s="107">
        <v>1310</v>
      </c>
      <c r="F13" s="107">
        <v>1402</v>
      </c>
      <c r="G13" s="107">
        <v>984</v>
      </c>
      <c r="H13" s="107">
        <v>819</v>
      </c>
      <c r="I13" s="107">
        <v>741</v>
      </c>
      <c r="J13" s="107">
        <v>854</v>
      </c>
      <c r="K13" s="107">
        <v>711</v>
      </c>
      <c r="L13" s="107">
        <v>675</v>
      </c>
      <c r="M13" s="107">
        <v>630</v>
      </c>
      <c r="N13" s="177">
        <f t="shared" si="0"/>
        <v>10670</v>
      </c>
    </row>
    <row r="14" spans="1:14" ht="16.5" customHeight="1">
      <c r="A14" s="3" t="s">
        <v>34</v>
      </c>
      <c r="B14" s="107">
        <v>0</v>
      </c>
      <c r="C14" s="107">
        <v>0</v>
      </c>
      <c r="D14" s="107">
        <v>0</v>
      </c>
      <c r="E14" s="107">
        <v>0</v>
      </c>
      <c r="F14" s="107">
        <v>472</v>
      </c>
      <c r="G14" s="107">
        <v>57</v>
      </c>
      <c r="H14" s="107">
        <v>0</v>
      </c>
      <c r="I14" s="107">
        <v>0</v>
      </c>
      <c r="J14" s="107">
        <v>0</v>
      </c>
      <c r="K14" s="107">
        <v>0</v>
      </c>
      <c r="L14" s="107">
        <v>0</v>
      </c>
      <c r="M14" s="107">
        <v>0</v>
      </c>
      <c r="N14" s="177">
        <f>SUM(B14:M14)</f>
        <v>529</v>
      </c>
    </row>
    <row r="15" spans="1:14" ht="16.5" customHeight="1">
      <c r="A15" s="139" t="s">
        <v>119</v>
      </c>
      <c r="B15" s="107">
        <v>7</v>
      </c>
      <c r="C15" s="107">
        <v>36</v>
      </c>
      <c r="D15" s="107">
        <v>12</v>
      </c>
      <c r="E15" s="107">
        <v>6</v>
      </c>
      <c r="F15" s="107">
        <v>29</v>
      </c>
      <c r="G15" s="107">
        <v>11</v>
      </c>
      <c r="H15" s="107">
        <v>0</v>
      </c>
      <c r="I15" s="107">
        <v>1</v>
      </c>
      <c r="J15" s="107">
        <v>7</v>
      </c>
      <c r="K15" s="107">
        <v>7</v>
      </c>
      <c r="L15" s="107">
        <v>147</v>
      </c>
      <c r="M15" s="107">
        <v>8</v>
      </c>
      <c r="N15" s="177">
        <f t="shared" si="0"/>
        <v>271</v>
      </c>
    </row>
    <row r="16" spans="1:14" ht="16.5" customHeight="1">
      <c r="A16" s="139" t="s">
        <v>2</v>
      </c>
      <c r="B16" s="107">
        <v>118</v>
      </c>
      <c r="C16" s="107">
        <f>156+38</f>
        <v>194</v>
      </c>
      <c r="D16" s="107">
        <v>176</v>
      </c>
      <c r="E16" s="107">
        <v>193</v>
      </c>
      <c r="F16" s="107">
        <v>125</v>
      </c>
      <c r="G16" s="107">
        <v>119</v>
      </c>
      <c r="H16" s="107">
        <v>125</v>
      </c>
      <c r="I16" s="107">
        <v>108</v>
      </c>
      <c r="J16" s="107">
        <v>154</v>
      </c>
      <c r="K16" s="107">
        <v>127</v>
      </c>
      <c r="L16" s="107">
        <v>125</v>
      </c>
      <c r="M16" s="107">
        <v>112</v>
      </c>
      <c r="N16" s="177">
        <f t="shared" si="0"/>
        <v>1676</v>
      </c>
    </row>
    <row r="17" spans="1:14" ht="30">
      <c r="A17" s="139" t="s">
        <v>30</v>
      </c>
      <c r="B17" s="107">
        <v>0</v>
      </c>
      <c r="C17" s="107">
        <v>0</v>
      </c>
      <c r="D17" s="107">
        <v>0</v>
      </c>
      <c r="E17" s="107">
        <v>0</v>
      </c>
      <c r="F17" s="107">
        <v>6</v>
      </c>
      <c r="G17" s="107">
        <v>0</v>
      </c>
      <c r="H17" s="107">
        <v>1</v>
      </c>
      <c r="I17" s="107">
        <v>0</v>
      </c>
      <c r="J17" s="107">
        <v>181</v>
      </c>
      <c r="K17" s="107">
        <v>0</v>
      </c>
      <c r="L17" s="107">
        <v>0</v>
      </c>
      <c r="M17" s="107">
        <v>0</v>
      </c>
      <c r="N17" s="177">
        <f t="shared" si="0"/>
        <v>188</v>
      </c>
    </row>
    <row r="18" spans="1:14" ht="16.5" customHeight="1">
      <c r="A18" s="139" t="s">
        <v>120</v>
      </c>
      <c r="B18" s="107">
        <v>765</v>
      </c>
      <c r="C18" s="107">
        <v>828</v>
      </c>
      <c r="D18" s="107">
        <v>874</v>
      </c>
      <c r="E18" s="107">
        <v>881</v>
      </c>
      <c r="F18" s="107">
        <v>547</v>
      </c>
      <c r="G18" s="107">
        <v>583</v>
      </c>
      <c r="H18" s="107">
        <v>696</v>
      </c>
      <c r="I18" s="107">
        <v>608</v>
      </c>
      <c r="J18" s="107">
        <v>1127</v>
      </c>
      <c r="K18" s="107">
        <v>1207</v>
      </c>
      <c r="L18" s="107">
        <v>1134</v>
      </c>
      <c r="M18" s="107">
        <v>1087</v>
      </c>
      <c r="N18" s="177">
        <f t="shared" si="0"/>
        <v>10337</v>
      </c>
    </row>
    <row r="19" spans="1:14" ht="30">
      <c r="A19" s="139" t="s">
        <v>122</v>
      </c>
      <c r="B19" s="107">
        <v>402</v>
      </c>
      <c r="C19" s="107">
        <v>466</v>
      </c>
      <c r="D19" s="107">
        <v>662</v>
      </c>
      <c r="E19" s="107">
        <v>614</v>
      </c>
      <c r="F19" s="107">
        <v>419</v>
      </c>
      <c r="G19" s="107">
        <v>544</v>
      </c>
      <c r="H19" s="107">
        <v>336</v>
      </c>
      <c r="I19" s="107">
        <v>153</v>
      </c>
      <c r="J19" s="107">
        <v>464</v>
      </c>
      <c r="K19" s="107">
        <v>512</v>
      </c>
      <c r="L19" s="107">
        <v>532</v>
      </c>
      <c r="M19" s="107">
        <v>500</v>
      </c>
      <c r="N19" s="177">
        <f t="shared" si="0"/>
        <v>5604</v>
      </c>
    </row>
    <row r="20" spans="1:14" ht="30">
      <c r="A20" s="139" t="s">
        <v>121</v>
      </c>
      <c r="B20" s="107">
        <v>346</v>
      </c>
      <c r="C20" s="107">
        <v>423</v>
      </c>
      <c r="D20" s="107">
        <v>457</v>
      </c>
      <c r="E20" s="107">
        <v>419</v>
      </c>
      <c r="F20" s="107">
        <v>25</v>
      </c>
      <c r="G20" s="107">
        <v>30</v>
      </c>
      <c r="H20" s="107">
        <v>35</v>
      </c>
      <c r="I20" s="107">
        <v>33</v>
      </c>
      <c r="J20" s="107">
        <v>314</v>
      </c>
      <c r="K20" s="107">
        <v>420</v>
      </c>
      <c r="L20" s="107">
        <v>426</v>
      </c>
      <c r="M20" s="107">
        <v>400</v>
      </c>
      <c r="N20" s="177">
        <f t="shared" si="0"/>
        <v>3328</v>
      </c>
    </row>
    <row r="21" spans="1:14" ht="15">
      <c r="A21" s="139" t="s">
        <v>31</v>
      </c>
      <c r="B21" s="107">
        <v>10</v>
      </c>
      <c r="C21" s="107">
        <v>9</v>
      </c>
      <c r="D21" s="107">
        <v>9</v>
      </c>
      <c r="E21" s="107">
        <v>1</v>
      </c>
      <c r="F21" s="107">
        <v>0</v>
      </c>
      <c r="G21" s="107">
        <v>21</v>
      </c>
      <c r="H21" s="107">
        <v>165</v>
      </c>
      <c r="I21" s="107">
        <v>126</v>
      </c>
      <c r="J21" s="107">
        <v>216</v>
      </c>
      <c r="K21" s="107">
        <v>138</v>
      </c>
      <c r="L21" s="107">
        <v>91</v>
      </c>
      <c r="M21" s="107">
        <v>59</v>
      </c>
      <c r="N21" s="177">
        <f t="shared" si="0"/>
        <v>845</v>
      </c>
    </row>
    <row r="22" spans="1:14" ht="16.5" customHeight="1" thickBot="1">
      <c r="A22" s="3" t="s">
        <v>23</v>
      </c>
      <c r="B22" s="156"/>
      <c r="C22" s="156">
        <v>142</v>
      </c>
      <c r="D22" s="156">
        <v>131</v>
      </c>
      <c r="E22" s="156">
        <v>108</v>
      </c>
      <c r="F22" s="156">
        <v>123</v>
      </c>
      <c r="G22" s="156">
        <v>129</v>
      </c>
      <c r="H22" s="156">
        <v>125</v>
      </c>
      <c r="I22" s="156">
        <v>112</v>
      </c>
      <c r="J22" s="156">
        <v>135</v>
      </c>
      <c r="K22" s="156">
        <v>135</v>
      </c>
      <c r="L22" s="156">
        <v>128</v>
      </c>
      <c r="M22" s="156">
        <v>121</v>
      </c>
      <c r="N22" s="180">
        <f t="shared" si="0"/>
        <v>1389</v>
      </c>
    </row>
    <row r="23" spans="1:14" ht="16.5" customHeight="1" thickTop="1" thickBot="1">
      <c r="A23" s="140" t="s">
        <v>45</v>
      </c>
      <c r="B23" s="248">
        <f t="shared" ref="B23:N23" si="1">SUM(B4:B22)</f>
        <v>7794</v>
      </c>
      <c r="C23" s="248">
        <f t="shared" si="1"/>
        <v>8746</v>
      </c>
      <c r="D23" s="248">
        <f t="shared" si="1"/>
        <v>8961</v>
      </c>
      <c r="E23" s="248">
        <f t="shared" si="1"/>
        <v>9572</v>
      </c>
      <c r="F23" s="248">
        <f t="shared" si="1"/>
        <v>6676</v>
      </c>
      <c r="G23" s="248">
        <f t="shared" si="1"/>
        <v>7023</v>
      </c>
      <c r="H23" s="248">
        <f t="shared" si="1"/>
        <v>7450</v>
      </c>
      <c r="I23" s="248">
        <f t="shared" si="1"/>
        <v>6612</v>
      </c>
      <c r="J23" s="248">
        <f t="shared" si="1"/>
        <v>10492</v>
      </c>
      <c r="K23" s="248">
        <f t="shared" si="1"/>
        <v>9738</v>
      </c>
      <c r="L23" s="248">
        <f t="shared" si="1"/>
        <v>9286</v>
      </c>
      <c r="M23" s="248">
        <f t="shared" si="1"/>
        <v>8390</v>
      </c>
      <c r="N23" s="249">
        <f t="shared" si="1"/>
        <v>100740</v>
      </c>
    </row>
    <row r="24" spans="1:14" ht="16.5" customHeight="1">
      <c r="A24" s="6"/>
      <c r="B24" s="182"/>
      <c r="C24" s="182"/>
      <c r="D24" s="182"/>
      <c r="E24" s="182"/>
      <c r="F24" s="182"/>
      <c r="G24" s="182"/>
      <c r="H24" s="182"/>
      <c r="I24" s="182"/>
      <c r="J24" s="182"/>
      <c r="K24" s="182"/>
      <c r="L24" s="182"/>
      <c r="M24" s="182"/>
      <c r="N24" s="182"/>
    </row>
    <row r="25" spans="1:14" ht="16.5" customHeight="1" thickBot="1">
      <c r="A25" s="6" t="s">
        <v>8</v>
      </c>
      <c r="B25" s="182"/>
      <c r="C25" s="182"/>
      <c r="D25" s="182"/>
      <c r="E25" s="182"/>
      <c r="F25" s="182"/>
      <c r="G25" s="182"/>
      <c r="H25" s="182"/>
      <c r="I25" s="182"/>
      <c r="J25" s="182"/>
      <c r="K25" s="182"/>
      <c r="L25" s="182"/>
      <c r="M25" s="182"/>
      <c r="N25" s="182"/>
    </row>
    <row r="26" spans="1:14" ht="16.5" customHeight="1">
      <c r="A26" s="136" t="s">
        <v>105</v>
      </c>
      <c r="B26" s="105">
        <v>4</v>
      </c>
      <c r="C26" s="105">
        <v>5</v>
      </c>
      <c r="D26" s="105">
        <v>5</v>
      </c>
      <c r="E26" s="105">
        <v>105</v>
      </c>
      <c r="F26" s="105">
        <v>78</v>
      </c>
      <c r="G26" s="105">
        <v>236</v>
      </c>
      <c r="H26" s="105">
        <v>289</v>
      </c>
      <c r="I26" s="105">
        <v>190</v>
      </c>
      <c r="J26" s="105">
        <v>150</v>
      </c>
      <c r="K26" s="105">
        <v>571</v>
      </c>
      <c r="L26" s="105">
        <v>322</v>
      </c>
      <c r="M26" s="105">
        <v>300</v>
      </c>
      <c r="N26" s="176">
        <f>SUM(B26:M26)</f>
        <v>2255</v>
      </c>
    </row>
    <row r="27" spans="1:14" ht="16.5" customHeight="1">
      <c r="A27" s="13" t="s">
        <v>85</v>
      </c>
      <c r="B27" s="107" t="s">
        <v>104</v>
      </c>
      <c r="C27" s="107" t="s">
        <v>104</v>
      </c>
      <c r="D27" s="107" t="s">
        <v>104</v>
      </c>
      <c r="E27" s="107" t="s">
        <v>104</v>
      </c>
      <c r="F27" s="107" t="s">
        <v>104</v>
      </c>
      <c r="G27" s="107" t="s">
        <v>104</v>
      </c>
      <c r="H27" s="107" t="s">
        <v>104</v>
      </c>
      <c r="I27" s="107" t="s">
        <v>104</v>
      </c>
      <c r="J27" s="107" t="s">
        <v>104</v>
      </c>
      <c r="K27" s="107" t="s">
        <v>104</v>
      </c>
      <c r="L27" s="107" t="s">
        <v>104</v>
      </c>
      <c r="M27" s="107" t="s">
        <v>104</v>
      </c>
      <c r="N27" s="177">
        <f t="shared" ref="N27:N35" si="2">SUM(B27:M27)</f>
        <v>0</v>
      </c>
    </row>
    <row r="28" spans="1:14" ht="16.5" customHeight="1">
      <c r="A28" s="13" t="s">
        <v>107</v>
      </c>
      <c r="B28" s="107">
        <v>109</v>
      </c>
      <c r="C28" s="107">
        <v>97</v>
      </c>
      <c r="D28" s="107">
        <v>59</v>
      </c>
      <c r="E28" s="107">
        <v>249</v>
      </c>
      <c r="F28" s="107">
        <v>430</v>
      </c>
      <c r="G28" s="107">
        <v>432</v>
      </c>
      <c r="H28" s="107">
        <v>152</v>
      </c>
      <c r="I28" s="107">
        <v>68</v>
      </c>
      <c r="J28" s="107">
        <v>285</v>
      </c>
      <c r="K28" s="107">
        <v>198</v>
      </c>
      <c r="L28" s="107">
        <v>100</v>
      </c>
      <c r="M28" s="107">
        <v>50</v>
      </c>
      <c r="N28" s="177">
        <f t="shared" si="2"/>
        <v>2229</v>
      </c>
    </row>
    <row r="29" spans="1:14" ht="16.5" customHeight="1">
      <c r="A29" s="13" t="s">
        <v>108</v>
      </c>
      <c r="B29" s="107">
        <v>10</v>
      </c>
      <c r="C29" s="107">
        <v>8</v>
      </c>
      <c r="D29" s="107">
        <v>3</v>
      </c>
      <c r="E29" s="107">
        <v>5</v>
      </c>
      <c r="F29" s="107">
        <v>5</v>
      </c>
      <c r="G29" s="107">
        <v>10</v>
      </c>
      <c r="H29" s="107">
        <v>9</v>
      </c>
      <c r="I29" s="107">
        <v>8</v>
      </c>
      <c r="J29" s="107">
        <v>8</v>
      </c>
      <c r="K29" s="107">
        <v>6</v>
      </c>
      <c r="L29" s="107">
        <v>10</v>
      </c>
      <c r="M29" s="107">
        <v>10</v>
      </c>
      <c r="N29" s="177">
        <f t="shared" si="2"/>
        <v>92</v>
      </c>
    </row>
    <row r="30" spans="1:14" ht="16.5" customHeight="1">
      <c r="A30" s="13" t="s">
        <v>87</v>
      </c>
      <c r="B30" s="107">
        <v>17</v>
      </c>
      <c r="C30" s="107">
        <v>14</v>
      </c>
      <c r="D30" s="107">
        <v>13</v>
      </c>
      <c r="E30" s="107">
        <v>20</v>
      </c>
      <c r="F30" s="107">
        <v>13</v>
      </c>
      <c r="G30" s="107">
        <v>12</v>
      </c>
      <c r="H30" s="107">
        <v>12</v>
      </c>
      <c r="I30" s="107">
        <v>4</v>
      </c>
      <c r="J30" s="107">
        <v>8</v>
      </c>
      <c r="K30" s="107">
        <v>32</v>
      </c>
      <c r="L30" s="107">
        <v>30</v>
      </c>
      <c r="M30" s="107">
        <v>25</v>
      </c>
      <c r="N30" s="177">
        <f t="shared" si="2"/>
        <v>200</v>
      </c>
    </row>
    <row r="31" spans="1:14" ht="16.5" customHeight="1">
      <c r="A31" s="13" t="s">
        <v>88</v>
      </c>
      <c r="B31" s="107">
        <v>193</v>
      </c>
      <c r="C31" s="107">
        <v>167</v>
      </c>
      <c r="D31" s="107">
        <v>152</v>
      </c>
      <c r="E31" s="107">
        <v>116</v>
      </c>
      <c r="F31" s="107">
        <v>78</v>
      </c>
      <c r="G31" s="107">
        <v>5</v>
      </c>
      <c r="H31" s="107">
        <v>5</v>
      </c>
      <c r="I31" s="107">
        <v>0</v>
      </c>
      <c r="J31" s="107">
        <v>3</v>
      </c>
      <c r="K31" s="107">
        <v>39</v>
      </c>
      <c r="L31" s="107">
        <v>50</v>
      </c>
      <c r="M31" s="107">
        <v>50</v>
      </c>
      <c r="N31" s="177">
        <f t="shared" si="2"/>
        <v>858</v>
      </c>
    </row>
    <row r="32" spans="1:14" ht="16.5" customHeight="1">
      <c r="A32" s="13" t="s">
        <v>109</v>
      </c>
      <c r="B32" s="107" t="s">
        <v>104</v>
      </c>
      <c r="C32" s="107" t="s">
        <v>104</v>
      </c>
      <c r="D32" s="107" t="s">
        <v>104</v>
      </c>
      <c r="E32" s="107" t="s">
        <v>104</v>
      </c>
      <c r="F32" s="107" t="s">
        <v>104</v>
      </c>
      <c r="G32" s="107" t="s">
        <v>104</v>
      </c>
      <c r="H32" s="107" t="s">
        <v>104</v>
      </c>
      <c r="I32" s="107" t="s">
        <v>104</v>
      </c>
      <c r="J32" s="107" t="s">
        <v>104</v>
      </c>
      <c r="K32" s="107" t="s">
        <v>104</v>
      </c>
      <c r="L32" s="107" t="s">
        <v>104</v>
      </c>
      <c r="M32" s="107" t="s">
        <v>104</v>
      </c>
      <c r="N32" s="177">
        <f t="shared" si="2"/>
        <v>0</v>
      </c>
    </row>
    <row r="33" spans="1:14" ht="16.5" customHeight="1">
      <c r="A33" s="3" t="s">
        <v>93</v>
      </c>
      <c r="B33" s="107">
        <v>114</v>
      </c>
      <c r="C33" s="107">
        <v>99</v>
      </c>
      <c r="D33" s="107">
        <v>99</v>
      </c>
      <c r="E33" s="107">
        <v>112</v>
      </c>
      <c r="F33" s="107">
        <v>98</v>
      </c>
      <c r="G33" s="107">
        <v>35</v>
      </c>
      <c r="H33" s="107">
        <v>177</v>
      </c>
      <c r="I33" s="107">
        <v>93</v>
      </c>
      <c r="J33" s="107">
        <v>95</v>
      </c>
      <c r="K33" s="107" t="s">
        <v>42</v>
      </c>
      <c r="L33" s="107" t="s">
        <v>42</v>
      </c>
      <c r="M33" s="107" t="s">
        <v>42</v>
      </c>
      <c r="N33" s="177">
        <f t="shared" si="2"/>
        <v>922</v>
      </c>
    </row>
    <row r="34" spans="1:14" ht="16.5" customHeight="1" thickBot="1">
      <c r="A34" s="3" t="s">
        <v>102</v>
      </c>
      <c r="B34" s="156">
        <v>255</v>
      </c>
      <c r="C34" s="156">
        <v>81</v>
      </c>
      <c r="D34" s="156">
        <v>16</v>
      </c>
      <c r="E34" s="156">
        <v>25</v>
      </c>
      <c r="F34" s="156">
        <v>26</v>
      </c>
      <c r="G34" s="156">
        <v>24</v>
      </c>
      <c r="H34" s="156">
        <v>22</v>
      </c>
      <c r="I34" s="156">
        <v>22</v>
      </c>
      <c r="J34" s="156">
        <v>0</v>
      </c>
      <c r="K34" s="156" t="s">
        <v>42</v>
      </c>
      <c r="L34" s="156" t="s">
        <v>42</v>
      </c>
      <c r="M34" s="156" t="s">
        <v>42</v>
      </c>
      <c r="N34" s="180">
        <f t="shared" si="2"/>
        <v>471</v>
      </c>
    </row>
    <row r="35" spans="1:14" ht="16.5" customHeight="1" thickTop="1" thickBot="1">
      <c r="A35" s="140" t="s">
        <v>46</v>
      </c>
      <c r="B35" s="250">
        <f t="shared" ref="B35:M35" si="3">SUM(B26:B34)</f>
        <v>702</v>
      </c>
      <c r="C35" s="250">
        <f t="shared" si="3"/>
        <v>471</v>
      </c>
      <c r="D35" s="250">
        <f t="shared" si="3"/>
        <v>347</v>
      </c>
      <c r="E35" s="250">
        <f t="shared" si="3"/>
        <v>632</v>
      </c>
      <c r="F35" s="250">
        <f t="shared" si="3"/>
        <v>728</v>
      </c>
      <c r="G35" s="250">
        <f t="shared" si="3"/>
        <v>754</v>
      </c>
      <c r="H35" s="250">
        <f t="shared" si="3"/>
        <v>666</v>
      </c>
      <c r="I35" s="250">
        <f t="shared" si="3"/>
        <v>385</v>
      </c>
      <c r="J35" s="250">
        <f t="shared" si="3"/>
        <v>549</v>
      </c>
      <c r="K35" s="250">
        <f t="shared" si="3"/>
        <v>846</v>
      </c>
      <c r="L35" s="250">
        <f t="shared" si="3"/>
        <v>512</v>
      </c>
      <c r="M35" s="250">
        <f t="shared" si="3"/>
        <v>435</v>
      </c>
      <c r="N35" s="249">
        <f t="shared" si="2"/>
        <v>7027</v>
      </c>
    </row>
    <row r="36" spans="1:14" ht="16.5" customHeight="1" thickBot="1">
      <c r="A36" s="6"/>
      <c r="B36" s="204"/>
      <c r="C36" s="204"/>
      <c r="D36" s="204"/>
      <c r="E36" s="204"/>
      <c r="F36" s="204"/>
      <c r="G36" s="204"/>
      <c r="H36" s="204"/>
      <c r="I36" s="204"/>
      <c r="J36" s="204"/>
      <c r="K36" s="204"/>
      <c r="L36" s="204"/>
      <c r="M36" s="204"/>
      <c r="N36" s="182"/>
    </row>
    <row r="37" spans="1:14" ht="16.5" customHeight="1" thickBot="1">
      <c r="A37" s="116" t="s">
        <v>20</v>
      </c>
      <c r="B37" s="288" t="s">
        <v>42</v>
      </c>
      <c r="C37" s="288" t="s">
        <v>42</v>
      </c>
      <c r="D37" s="288" t="s">
        <v>42</v>
      </c>
      <c r="E37" s="288" t="s">
        <v>42</v>
      </c>
      <c r="F37" s="288" t="s">
        <v>42</v>
      </c>
      <c r="G37" s="288" t="s">
        <v>42</v>
      </c>
      <c r="H37" s="288" t="s">
        <v>42</v>
      </c>
      <c r="I37" s="288" t="s">
        <v>42</v>
      </c>
      <c r="J37" s="288" t="s">
        <v>42</v>
      </c>
      <c r="K37" s="288" t="s">
        <v>42</v>
      </c>
      <c r="L37" s="288" t="s">
        <v>42</v>
      </c>
      <c r="M37" s="288">
        <v>5</v>
      </c>
      <c r="N37" s="259">
        <f>SUM(B37:M37)</f>
        <v>5</v>
      </c>
    </row>
    <row r="38" spans="1:14" ht="16.5" customHeight="1" thickBot="1">
      <c r="A38" s="6"/>
      <c r="B38" s="159"/>
      <c r="C38" s="159"/>
      <c r="D38" s="159"/>
      <c r="E38" s="159"/>
      <c r="F38" s="159"/>
      <c r="G38" s="159"/>
      <c r="H38" s="159"/>
      <c r="I38" s="159"/>
      <c r="J38" s="159"/>
      <c r="K38" s="159"/>
      <c r="L38" s="159"/>
      <c r="M38" s="159"/>
      <c r="N38" s="183"/>
    </row>
    <row r="39" spans="1:14" ht="16.5" customHeight="1" thickBot="1">
      <c r="A39" s="134" t="s">
        <v>67</v>
      </c>
      <c r="B39" s="251">
        <f>B23+B35</f>
        <v>8496</v>
      </c>
      <c r="C39" s="251">
        <f t="shared" ref="C39:L39" si="4">C23+C35</f>
        <v>9217</v>
      </c>
      <c r="D39" s="251">
        <f t="shared" si="4"/>
        <v>9308</v>
      </c>
      <c r="E39" s="251">
        <f t="shared" si="4"/>
        <v>10204</v>
      </c>
      <c r="F39" s="251">
        <f t="shared" si="4"/>
        <v>7404</v>
      </c>
      <c r="G39" s="251">
        <f t="shared" si="4"/>
        <v>7777</v>
      </c>
      <c r="H39" s="251">
        <f t="shared" si="4"/>
        <v>8116</v>
      </c>
      <c r="I39" s="251">
        <f t="shared" si="4"/>
        <v>6997</v>
      </c>
      <c r="J39" s="251">
        <f t="shared" si="4"/>
        <v>11041</v>
      </c>
      <c r="K39" s="251">
        <f t="shared" si="4"/>
        <v>10584</v>
      </c>
      <c r="L39" s="251">
        <f t="shared" si="4"/>
        <v>9798</v>
      </c>
      <c r="M39" s="251">
        <f t="shared" ref="M39:N39" si="5">M23+M35+M37</f>
        <v>8830</v>
      </c>
      <c r="N39" s="251">
        <f t="shared" si="5"/>
        <v>107772</v>
      </c>
    </row>
    <row r="41" spans="1:14" ht="16.5" customHeight="1">
      <c r="A41" s="17" t="s">
        <v>128</v>
      </c>
    </row>
  </sheetData>
  <pageMargins left="0.7" right="0.7" top="0.75" bottom="0.75" header="0.3" footer="0.3"/>
  <pageSetup scale="77"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N37"/>
  <sheetViews>
    <sheetView showGridLines="0" topLeftCell="A19" workbookViewId="0">
      <selection activeCell="N1" sqref="N1"/>
    </sheetView>
  </sheetViews>
  <sheetFormatPr defaultColWidth="8.85546875" defaultRowHeight="15"/>
  <cols>
    <col min="1" max="1" width="23" style="17" customWidth="1"/>
    <col min="2" max="16384" width="8.85546875" style="17"/>
  </cols>
  <sheetData>
    <row r="1" spans="1:14" ht="17.25" thickBot="1">
      <c r="A1" s="116" t="s">
        <v>0</v>
      </c>
      <c r="B1" s="117">
        <v>40179</v>
      </c>
      <c r="C1" s="117">
        <v>40210</v>
      </c>
      <c r="D1" s="117">
        <v>40238</v>
      </c>
      <c r="E1" s="117">
        <v>40269</v>
      </c>
      <c r="F1" s="117">
        <v>40299</v>
      </c>
      <c r="G1" s="117">
        <v>40330</v>
      </c>
      <c r="H1" s="117">
        <v>40360</v>
      </c>
      <c r="I1" s="117">
        <v>40391</v>
      </c>
      <c r="J1" s="117">
        <v>40422</v>
      </c>
      <c r="K1" s="117">
        <v>40452</v>
      </c>
      <c r="L1" s="117">
        <v>40483</v>
      </c>
      <c r="M1" s="117">
        <v>40513</v>
      </c>
      <c r="N1" s="118"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c r="A4" s="138" t="s">
        <v>24</v>
      </c>
      <c r="B4" s="105">
        <v>651</v>
      </c>
      <c r="C4" s="105">
        <v>689</v>
      </c>
      <c r="D4" s="105">
        <v>630</v>
      </c>
      <c r="E4" s="105">
        <v>669</v>
      </c>
      <c r="F4" s="105">
        <v>669</v>
      </c>
      <c r="G4" s="105">
        <v>703</v>
      </c>
      <c r="H4" s="105">
        <v>114</v>
      </c>
      <c r="I4" s="105">
        <v>7</v>
      </c>
      <c r="J4" s="105">
        <v>174</v>
      </c>
      <c r="K4" s="105">
        <v>532</v>
      </c>
      <c r="L4" s="105">
        <v>531</v>
      </c>
      <c r="M4" s="105">
        <v>374</v>
      </c>
      <c r="N4" s="176">
        <f>SUM(B4:M4)</f>
        <v>5743</v>
      </c>
    </row>
    <row r="5" spans="1:14">
      <c r="A5" s="139" t="s">
        <v>27</v>
      </c>
      <c r="B5" s="107">
        <v>91</v>
      </c>
      <c r="C5" s="107">
        <v>107</v>
      </c>
      <c r="D5" s="107">
        <v>111</v>
      </c>
      <c r="E5" s="107">
        <v>111</v>
      </c>
      <c r="F5" s="107">
        <v>83</v>
      </c>
      <c r="G5" s="107">
        <v>104</v>
      </c>
      <c r="H5" s="107">
        <v>90</v>
      </c>
      <c r="I5" s="107">
        <v>86</v>
      </c>
      <c r="J5" s="107">
        <v>104</v>
      </c>
      <c r="K5" s="107">
        <v>102</v>
      </c>
      <c r="L5" s="107">
        <v>104</v>
      </c>
      <c r="M5" s="107">
        <v>83</v>
      </c>
      <c r="N5" s="177">
        <f t="shared" ref="N5:N22" si="0">SUM(B5:M5)</f>
        <v>1176</v>
      </c>
    </row>
    <row r="6" spans="1:14">
      <c r="A6" s="139" t="s">
        <v>115</v>
      </c>
      <c r="B6" s="107">
        <v>1617</v>
      </c>
      <c r="C6" s="107">
        <v>1825</v>
      </c>
      <c r="D6" s="107">
        <v>1647</v>
      </c>
      <c r="E6" s="107">
        <v>2054</v>
      </c>
      <c r="F6" s="107">
        <v>2178</v>
      </c>
      <c r="G6" s="107">
        <v>2641</v>
      </c>
      <c r="H6" s="107">
        <v>2917</v>
      </c>
      <c r="I6" s="107">
        <v>2611</v>
      </c>
      <c r="J6" s="107">
        <v>2485</v>
      </c>
      <c r="K6" s="107">
        <v>2083</v>
      </c>
      <c r="L6" s="107">
        <v>1850</v>
      </c>
      <c r="M6" s="107">
        <v>1876</v>
      </c>
      <c r="N6" s="177">
        <f t="shared" si="0"/>
        <v>25784</v>
      </c>
    </row>
    <row r="7" spans="1:14" ht="30">
      <c r="A7" s="139" t="s">
        <v>116</v>
      </c>
      <c r="B7" s="107">
        <v>245</v>
      </c>
      <c r="C7" s="107">
        <v>445</v>
      </c>
      <c r="D7" s="107">
        <v>474</v>
      </c>
      <c r="E7" s="107">
        <v>364</v>
      </c>
      <c r="F7" s="107">
        <v>102</v>
      </c>
      <c r="G7" s="107">
        <v>93</v>
      </c>
      <c r="H7" s="107">
        <v>74</v>
      </c>
      <c r="I7" s="107">
        <v>65</v>
      </c>
      <c r="J7" s="107">
        <v>352</v>
      </c>
      <c r="K7" s="107">
        <v>564</v>
      </c>
      <c r="L7" s="107">
        <v>379</v>
      </c>
      <c r="M7" s="107">
        <v>308</v>
      </c>
      <c r="N7" s="177">
        <f t="shared" si="0"/>
        <v>3465</v>
      </c>
    </row>
    <row r="8" spans="1:14">
      <c r="A8" s="139" t="s">
        <v>28</v>
      </c>
      <c r="B8" s="107">
        <v>462</v>
      </c>
      <c r="C8" s="107">
        <v>639</v>
      </c>
      <c r="D8" s="107">
        <v>726</v>
      </c>
      <c r="E8" s="107">
        <v>650</v>
      </c>
      <c r="F8" s="107">
        <v>458</v>
      </c>
      <c r="G8" s="107">
        <v>412</v>
      </c>
      <c r="H8" s="107">
        <v>288</v>
      </c>
      <c r="I8" s="107">
        <v>412</v>
      </c>
      <c r="J8" s="107">
        <v>369</v>
      </c>
      <c r="K8" s="107">
        <v>397</v>
      </c>
      <c r="L8" s="107">
        <v>523</v>
      </c>
      <c r="M8" s="107">
        <v>384</v>
      </c>
      <c r="N8" s="177">
        <f>SUM(B8:M8)</f>
        <v>5720</v>
      </c>
    </row>
    <row r="9" spans="1:14">
      <c r="A9" s="139" t="s">
        <v>81</v>
      </c>
      <c r="B9" s="107">
        <f>1107+145</f>
        <v>1252</v>
      </c>
      <c r="C9" s="107">
        <f>1301+180</f>
        <v>1481</v>
      </c>
      <c r="D9" s="107">
        <f>1287+182</f>
        <v>1469</v>
      </c>
      <c r="E9" s="107">
        <f>1197+102</f>
        <v>1299</v>
      </c>
      <c r="F9" s="107">
        <f>586+55</f>
        <v>641</v>
      </c>
      <c r="G9" s="107">
        <f>592+67</f>
        <v>659</v>
      </c>
      <c r="H9" s="107">
        <f>750+71</f>
        <v>821</v>
      </c>
      <c r="I9" s="107">
        <f>750+71</f>
        <v>821</v>
      </c>
      <c r="J9" s="107">
        <f>1193+220</f>
        <v>1413</v>
      </c>
      <c r="K9" s="107">
        <f>1200+138</f>
        <v>1338</v>
      </c>
      <c r="L9" s="107">
        <f>961+170</f>
        <v>1131</v>
      </c>
      <c r="M9" s="107">
        <f>882+76</f>
        <v>958</v>
      </c>
      <c r="N9" s="177">
        <f>SUM(B9:M9)</f>
        <v>13283</v>
      </c>
    </row>
    <row r="10" spans="1:14" ht="30">
      <c r="A10" s="139" t="s">
        <v>117</v>
      </c>
      <c r="B10" s="107">
        <v>313</v>
      </c>
      <c r="C10" s="107">
        <v>279</v>
      </c>
      <c r="D10" s="107">
        <v>405</v>
      </c>
      <c r="E10" s="107">
        <v>306</v>
      </c>
      <c r="F10" s="107">
        <v>113</v>
      </c>
      <c r="G10" s="107">
        <v>59</v>
      </c>
      <c r="H10" s="107">
        <v>68</v>
      </c>
      <c r="I10" s="107">
        <v>108</v>
      </c>
      <c r="J10" s="107">
        <v>413</v>
      </c>
      <c r="K10" s="107">
        <v>462</v>
      </c>
      <c r="L10" s="107">
        <v>389</v>
      </c>
      <c r="M10" s="107">
        <v>282</v>
      </c>
      <c r="N10" s="177">
        <f>SUM(B10:M10)</f>
        <v>3197</v>
      </c>
    </row>
    <row r="11" spans="1:14">
      <c r="A11" s="139" t="s">
        <v>33</v>
      </c>
      <c r="B11" s="107" t="s">
        <v>104</v>
      </c>
      <c r="C11" s="107" t="s">
        <v>104</v>
      </c>
      <c r="D11" s="107" t="s">
        <v>104</v>
      </c>
      <c r="E11" s="107" t="s">
        <v>104</v>
      </c>
      <c r="F11" s="107" t="s">
        <v>104</v>
      </c>
      <c r="G11" s="107" t="s">
        <v>104</v>
      </c>
      <c r="H11" s="107" t="s">
        <v>104</v>
      </c>
      <c r="I11" s="107" t="s">
        <v>104</v>
      </c>
      <c r="J11" s="107" t="s">
        <v>104</v>
      </c>
      <c r="K11" s="107" t="s">
        <v>104</v>
      </c>
      <c r="L11" s="107" t="s">
        <v>104</v>
      </c>
      <c r="M11" s="107" t="s">
        <v>104</v>
      </c>
      <c r="N11" s="177" t="s">
        <v>42</v>
      </c>
    </row>
    <row r="12" spans="1:14">
      <c r="A12" s="139" t="s">
        <v>76</v>
      </c>
      <c r="B12" s="107">
        <v>447</v>
      </c>
      <c r="C12" s="107">
        <v>660</v>
      </c>
      <c r="D12" s="107">
        <v>636</v>
      </c>
      <c r="E12" s="107">
        <v>550</v>
      </c>
      <c r="F12" s="107">
        <v>489</v>
      </c>
      <c r="G12" s="107">
        <v>483</v>
      </c>
      <c r="H12" s="107">
        <v>857</v>
      </c>
      <c r="I12" s="107">
        <v>668</v>
      </c>
      <c r="J12" s="107">
        <v>978</v>
      </c>
      <c r="K12" s="107">
        <v>548</v>
      </c>
      <c r="L12" s="107">
        <v>460</v>
      </c>
      <c r="M12" s="107">
        <v>383</v>
      </c>
      <c r="N12" s="177">
        <f>SUM(B12:M12)</f>
        <v>7159</v>
      </c>
    </row>
    <row r="13" spans="1:14">
      <c r="A13" s="139" t="s">
        <v>29</v>
      </c>
      <c r="B13" s="107">
        <v>542</v>
      </c>
      <c r="C13" s="107">
        <v>665</v>
      </c>
      <c r="D13" s="107">
        <v>614</v>
      </c>
      <c r="E13" s="107">
        <v>673</v>
      </c>
      <c r="F13" s="107">
        <v>765</v>
      </c>
      <c r="G13" s="107">
        <v>792</v>
      </c>
      <c r="H13" s="107">
        <v>1000</v>
      </c>
      <c r="I13" s="107">
        <v>1033</v>
      </c>
      <c r="J13" s="107">
        <v>831</v>
      </c>
      <c r="K13" s="107">
        <v>835</v>
      </c>
      <c r="L13" s="107">
        <v>916</v>
      </c>
      <c r="M13" s="107">
        <v>811</v>
      </c>
      <c r="N13" s="177">
        <f t="shared" si="0"/>
        <v>9477</v>
      </c>
    </row>
    <row r="14" spans="1:14">
      <c r="A14" s="3" t="s">
        <v>34</v>
      </c>
      <c r="B14" s="107">
        <v>0</v>
      </c>
      <c r="C14" s="107">
        <v>0</v>
      </c>
      <c r="D14" s="107">
        <v>0</v>
      </c>
      <c r="E14" s="107">
        <v>0</v>
      </c>
      <c r="F14" s="107">
        <v>4</v>
      </c>
      <c r="G14" s="107">
        <v>1</v>
      </c>
      <c r="H14" s="107">
        <v>0</v>
      </c>
      <c r="I14" s="107">
        <v>0</v>
      </c>
      <c r="J14" s="107">
        <v>1</v>
      </c>
      <c r="K14" s="107">
        <v>0</v>
      </c>
      <c r="L14" s="107">
        <v>0</v>
      </c>
      <c r="M14" s="107">
        <v>0</v>
      </c>
      <c r="N14" s="177">
        <f>SUM(B14:M14)</f>
        <v>6</v>
      </c>
    </row>
    <row r="15" spans="1:14">
      <c r="A15" s="139" t="s">
        <v>119</v>
      </c>
      <c r="B15" s="107">
        <v>22</v>
      </c>
      <c r="C15" s="107">
        <v>14</v>
      </c>
      <c r="D15" s="107">
        <v>26</v>
      </c>
      <c r="E15" s="107">
        <v>6</v>
      </c>
      <c r="F15" s="107">
        <v>38</v>
      </c>
      <c r="G15" s="107">
        <v>3</v>
      </c>
      <c r="H15" s="107">
        <v>80</v>
      </c>
      <c r="I15" s="107">
        <v>2</v>
      </c>
      <c r="J15" s="107">
        <v>7</v>
      </c>
      <c r="K15" s="107">
        <v>31</v>
      </c>
      <c r="L15" s="107">
        <v>29</v>
      </c>
      <c r="M15" s="107">
        <v>2</v>
      </c>
      <c r="N15" s="177">
        <f t="shared" si="0"/>
        <v>260</v>
      </c>
    </row>
    <row r="16" spans="1:14">
      <c r="A16" s="139" t="s">
        <v>2</v>
      </c>
      <c r="B16" s="107">
        <v>110</v>
      </c>
      <c r="C16" s="107">
        <v>132</v>
      </c>
      <c r="D16" s="107">
        <v>126</v>
      </c>
      <c r="E16" s="107">
        <v>138</v>
      </c>
      <c r="F16" s="107">
        <v>122</v>
      </c>
      <c r="G16" s="107">
        <v>106</v>
      </c>
      <c r="H16" s="107">
        <v>121</v>
      </c>
      <c r="I16" s="107">
        <v>125</v>
      </c>
      <c r="J16" s="107">
        <v>147</v>
      </c>
      <c r="K16" s="107">
        <v>135</v>
      </c>
      <c r="L16" s="107">
        <v>150</v>
      </c>
      <c r="M16" s="107">
        <v>89</v>
      </c>
      <c r="N16" s="177">
        <f t="shared" si="0"/>
        <v>1501</v>
      </c>
    </row>
    <row r="17" spans="1:14" ht="30">
      <c r="A17" s="139" t="s">
        <v>30</v>
      </c>
      <c r="B17" s="107">
        <v>0</v>
      </c>
      <c r="C17" s="107">
        <v>0</v>
      </c>
      <c r="D17" s="107">
        <v>0</v>
      </c>
      <c r="E17" s="107">
        <v>0</v>
      </c>
      <c r="F17" s="107">
        <v>124</v>
      </c>
      <c r="G17" s="107">
        <v>0</v>
      </c>
      <c r="H17" s="107">
        <v>0</v>
      </c>
      <c r="I17" s="107">
        <v>76</v>
      </c>
      <c r="J17" s="107">
        <v>95</v>
      </c>
      <c r="K17" s="107">
        <v>0</v>
      </c>
      <c r="L17" s="107">
        <v>0</v>
      </c>
      <c r="M17" s="107">
        <v>0</v>
      </c>
      <c r="N17" s="177">
        <f t="shared" si="0"/>
        <v>295</v>
      </c>
    </row>
    <row r="18" spans="1:14">
      <c r="A18" s="139" t="s">
        <v>120</v>
      </c>
      <c r="B18" s="107">
        <v>951</v>
      </c>
      <c r="C18" s="107">
        <v>1267</v>
      </c>
      <c r="D18" s="107">
        <v>1257</v>
      </c>
      <c r="E18" s="107">
        <v>1217</v>
      </c>
      <c r="F18" s="107">
        <v>1132</v>
      </c>
      <c r="G18" s="107">
        <v>1376</v>
      </c>
      <c r="H18" s="107">
        <v>833</v>
      </c>
      <c r="I18" s="107">
        <v>559</v>
      </c>
      <c r="J18" s="107">
        <v>898</v>
      </c>
      <c r="K18" s="107">
        <v>576</v>
      </c>
      <c r="L18" s="107">
        <v>688</v>
      </c>
      <c r="M18" s="107">
        <v>561</v>
      </c>
      <c r="N18" s="177">
        <f t="shared" si="0"/>
        <v>11315</v>
      </c>
    </row>
    <row r="19" spans="1:14" ht="30">
      <c r="A19" s="139" t="s">
        <v>122</v>
      </c>
      <c r="B19" s="107">
        <v>508</v>
      </c>
      <c r="C19" s="107">
        <v>689</v>
      </c>
      <c r="D19" s="107">
        <v>666</v>
      </c>
      <c r="E19" s="107">
        <v>454</v>
      </c>
      <c r="F19" s="107">
        <v>96</v>
      </c>
      <c r="G19" s="107">
        <v>112</v>
      </c>
      <c r="H19" s="107">
        <v>43</v>
      </c>
      <c r="I19" s="107">
        <v>79</v>
      </c>
      <c r="J19" s="107">
        <v>571</v>
      </c>
      <c r="K19" s="107">
        <v>342</v>
      </c>
      <c r="L19" s="107">
        <v>516</v>
      </c>
      <c r="M19" s="107">
        <v>356</v>
      </c>
      <c r="N19" s="177">
        <f t="shared" si="0"/>
        <v>4432</v>
      </c>
    </row>
    <row r="20" spans="1:14" ht="30">
      <c r="A20" s="139" t="s">
        <v>121</v>
      </c>
      <c r="B20" s="107">
        <v>358</v>
      </c>
      <c r="C20" s="107">
        <v>508</v>
      </c>
      <c r="D20" s="107">
        <v>553</v>
      </c>
      <c r="E20" s="107">
        <v>552</v>
      </c>
      <c r="F20" s="107">
        <v>206</v>
      </c>
      <c r="G20" s="107">
        <v>82</v>
      </c>
      <c r="H20" s="107">
        <v>28</v>
      </c>
      <c r="I20" s="107">
        <v>35</v>
      </c>
      <c r="J20" s="107">
        <v>486</v>
      </c>
      <c r="K20" s="107">
        <v>358</v>
      </c>
      <c r="L20" s="107">
        <v>473</v>
      </c>
      <c r="M20" s="107">
        <v>310</v>
      </c>
      <c r="N20" s="177">
        <f t="shared" si="0"/>
        <v>3949</v>
      </c>
    </row>
    <row r="21" spans="1:14">
      <c r="A21" s="139" t="s">
        <v>31</v>
      </c>
      <c r="B21" s="107">
        <v>49</v>
      </c>
      <c r="C21" s="107">
        <v>75</v>
      </c>
      <c r="D21" s="107">
        <v>92</v>
      </c>
      <c r="E21" s="107">
        <v>53</v>
      </c>
      <c r="F21" s="107">
        <v>26</v>
      </c>
      <c r="G21" s="107">
        <v>23</v>
      </c>
      <c r="H21" s="107">
        <v>23</v>
      </c>
      <c r="I21" s="107">
        <v>62</v>
      </c>
      <c r="J21" s="107">
        <v>279</v>
      </c>
      <c r="K21" s="107">
        <v>176</v>
      </c>
      <c r="L21" s="107">
        <v>118</v>
      </c>
      <c r="M21" s="107">
        <v>67</v>
      </c>
      <c r="N21" s="177">
        <f t="shared" si="0"/>
        <v>1043</v>
      </c>
    </row>
    <row r="22" spans="1:14" ht="15.75" thickBot="1">
      <c r="A22" s="139" t="s">
        <v>23</v>
      </c>
      <c r="B22" s="156">
        <v>123</v>
      </c>
      <c r="C22" s="156">
        <v>163</v>
      </c>
      <c r="D22" s="156">
        <v>152</v>
      </c>
      <c r="E22" s="156">
        <v>122</v>
      </c>
      <c r="F22" s="156">
        <v>114</v>
      </c>
      <c r="G22" s="156">
        <v>117</v>
      </c>
      <c r="H22" s="156">
        <v>141</v>
      </c>
      <c r="I22" s="156">
        <v>161</v>
      </c>
      <c r="J22" s="156">
        <v>214</v>
      </c>
      <c r="K22" s="156">
        <v>130</v>
      </c>
      <c r="L22" s="156">
        <v>130</v>
      </c>
      <c r="M22" s="156">
        <v>124</v>
      </c>
      <c r="N22" s="180">
        <f t="shared" si="0"/>
        <v>1691</v>
      </c>
    </row>
    <row r="23" spans="1:14" ht="15" customHeight="1" thickTop="1" thickBot="1">
      <c r="A23" s="140" t="s">
        <v>45</v>
      </c>
      <c r="B23" s="248">
        <f t="shared" ref="B23:N23" si="1">SUM(B4:B22)</f>
        <v>7741</v>
      </c>
      <c r="C23" s="248">
        <f t="shared" si="1"/>
        <v>9638</v>
      </c>
      <c r="D23" s="248">
        <f t="shared" si="1"/>
        <v>9584</v>
      </c>
      <c r="E23" s="248">
        <f t="shared" si="1"/>
        <v>9218</v>
      </c>
      <c r="F23" s="248">
        <f t="shared" si="1"/>
        <v>7360</v>
      </c>
      <c r="G23" s="248">
        <f t="shared" si="1"/>
        <v>7766</v>
      </c>
      <c r="H23" s="248">
        <f t="shared" si="1"/>
        <v>7498</v>
      </c>
      <c r="I23" s="248">
        <f t="shared" si="1"/>
        <v>6910</v>
      </c>
      <c r="J23" s="248">
        <f t="shared" si="1"/>
        <v>9817</v>
      </c>
      <c r="K23" s="248">
        <f t="shared" si="1"/>
        <v>8609</v>
      </c>
      <c r="L23" s="248">
        <f t="shared" si="1"/>
        <v>8387</v>
      </c>
      <c r="M23" s="248">
        <f t="shared" si="1"/>
        <v>6968</v>
      </c>
      <c r="N23" s="249">
        <f t="shared" si="1"/>
        <v>99496</v>
      </c>
    </row>
    <row r="24" spans="1:14">
      <c r="A24" s="6"/>
      <c r="B24" s="182"/>
      <c r="C24" s="182"/>
      <c r="D24" s="182"/>
      <c r="E24" s="182"/>
      <c r="F24" s="182"/>
      <c r="G24" s="182"/>
      <c r="H24" s="182"/>
      <c r="I24" s="182"/>
      <c r="J24" s="182"/>
      <c r="K24" s="182"/>
      <c r="L24" s="182"/>
      <c r="M24" s="182"/>
      <c r="N24" s="182"/>
    </row>
    <row r="25" spans="1:14" ht="15.75" thickBot="1">
      <c r="A25" s="6" t="s">
        <v>8</v>
      </c>
      <c r="B25" s="182"/>
      <c r="C25" s="182"/>
      <c r="D25" s="182"/>
      <c r="E25" s="182"/>
      <c r="F25" s="182"/>
      <c r="G25" s="182"/>
      <c r="H25" s="182"/>
      <c r="I25" s="182"/>
      <c r="J25" s="182"/>
      <c r="K25" s="182"/>
      <c r="L25" s="182"/>
      <c r="M25" s="182"/>
      <c r="N25" s="182"/>
    </row>
    <row r="26" spans="1:14">
      <c r="A26" s="136" t="s">
        <v>105</v>
      </c>
      <c r="B26" s="105">
        <v>300</v>
      </c>
      <c r="C26" s="105">
        <v>735</v>
      </c>
      <c r="D26" s="105">
        <v>767</v>
      </c>
      <c r="E26" s="105">
        <v>600</v>
      </c>
      <c r="F26" s="105">
        <v>783</v>
      </c>
      <c r="G26" s="105">
        <v>324</v>
      </c>
      <c r="H26" s="105">
        <v>237</v>
      </c>
      <c r="I26" s="105">
        <v>169</v>
      </c>
      <c r="J26" s="105">
        <v>117</v>
      </c>
      <c r="K26" s="105">
        <v>120</v>
      </c>
      <c r="L26" s="105">
        <v>204</v>
      </c>
      <c r="M26" s="105">
        <v>299</v>
      </c>
      <c r="N26" s="176">
        <f>SUM(B26:M26)</f>
        <v>4655</v>
      </c>
    </row>
    <row r="27" spans="1:14">
      <c r="A27" s="13" t="s">
        <v>85</v>
      </c>
      <c r="B27" s="107" t="s">
        <v>104</v>
      </c>
      <c r="C27" s="107" t="s">
        <v>104</v>
      </c>
      <c r="D27" s="107" t="s">
        <v>104</v>
      </c>
      <c r="E27" s="107" t="s">
        <v>104</v>
      </c>
      <c r="F27" s="107" t="s">
        <v>104</v>
      </c>
      <c r="G27" s="107" t="s">
        <v>104</v>
      </c>
      <c r="H27" s="107" t="s">
        <v>104</v>
      </c>
      <c r="I27" s="107" t="s">
        <v>104</v>
      </c>
      <c r="J27" s="107" t="s">
        <v>104</v>
      </c>
      <c r="K27" s="107" t="s">
        <v>104</v>
      </c>
      <c r="L27" s="107" t="s">
        <v>104</v>
      </c>
      <c r="M27" s="107" t="s">
        <v>104</v>
      </c>
      <c r="N27" s="177">
        <f t="shared" ref="N27:N33" si="2">SUM(B27:M27)</f>
        <v>0</v>
      </c>
    </row>
    <row r="28" spans="1:14">
      <c r="A28" s="13" t="s">
        <v>107</v>
      </c>
      <c r="B28" s="107">
        <v>50</v>
      </c>
      <c r="C28" s="107">
        <v>252</v>
      </c>
      <c r="D28" s="107">
        <v>149</v>
      </c>
      <c r="E28" s="107">
        <v>173</v>
      </c>
      <c r="F28" s="107">
        <v>141</v>
      </c>
      <c r="G28" s="107">
        <v>98</v>
      </c>
      <c r="H28" s="107">
        <v>85</v>
      </c>
      <c r="I28" s="107">
        <v>91</v>
      </c>
      <c r="J28" s="107">
        <v>173</v>
      </c>
      <c r="K28" s="107">
        <v>183</v>
      </c>
      <c r="L28" s="107">
        <v>147</v>
      </c>
      <c r="M28" s="107">
        <v>131</v>
      </c>
      <c r="N28" s="177">
        <f t="shared" si="2"/>
        <v>1673</v>
      </c>
    </row>
    <row r="29" spans="1:14">
      <c r="A29" s="13" t="s">
        <v>108</v>
      </c>
      <c r="B29" s="107">
        <v>8</v>
      </c>
      <c r="C29" s="107">
        <v>3</v>
      </c>
      <c r="D29" s="107">
        <v>5</v>
      </c>
      <c r="E29" s="107">
        <v>3</v>
      </c>
      <c r="F29" s="107">
        <v>12</v>
      </c>
      <c r="G29" s="107">
        <v>4</v>
      </c>
      <c r="H29" s="107">
        <v>4</v>
      </c>
      <c r="I29" s="107">
        <v>3</v>
      </c>
      <c r="J29" s="107">
        <v>8</v>
      </c>
      <c r="K29" s="107">
        <v>7</v>
      </c>
      <c r="L29" s="107">
        <v>11</v>
      </c>
      <c r="M29" s="107">
        <v>7</v>
      </c>
      <c r="N29" s="177">
        <f t="shared" si="2"/>
        <v>75</v>
      </c>
    </row>
    <row r="30" spans="1:14">
      <c r="A30" s="13" t="s">
        <v>87</v>
      </c>
      <c r="B30" s="107">
        <v>20</v>
      </c>
      <c r="C30" s="107">
        <v>83</v>
      </c>
      <c r="D30" s="107">
        <v>56</v>
      </c>
      <c r="E30" s="107">
        <v>72</v>
      </c>
      <c r="F30" s="107">
        <v>64</v>
      </c>
      <c r="G30" s="107">
        <v>26</v>
      </c>
      <c r="H30" s="107">
        <v>27</v>
      </c>
      <c r="I30" s="107">
        <v>14</v>
      </c>
      <c r="J30" s="107">
        <v>18</v>
      </c>
      <c r="K30" s="107">
        <v>31</v>
      </c>
      <c r="L30" s="107">
        <v>25</v>
      </c>
      <c r="M30" s="107">
        <v>26</v>
      </c>
      <c r="N30" s="177">
        <f t="shared" si="2"/>
        <v>462</v>
      </c>
    </row>
    <row r="31" spans="1:14">
      <c r="A31" s="13" t="s">
        <v>88</v>
      </c>
      <c r="B31" s="107">
        <v>60</v>
      </c>
      <c r="C31" s="107">
        <v>81</v>
      </c>
      <c r="D31" s="107">
        <v>40</v>
      </c>
      <c r="E31" s="107">
        <v>12</v>
      </c>
      <c r="F31" s="107">
        <v>6</v>
      </c>
      <c r="G31" s="107">
        <v>10</v>
      </c>
      <c r="H31" s="107">
        <v>1</v>
      </c>
      <c r="I31" s="107">
        <v>1</v>
      </c>
      <c r="J31" s="107">
        <v>6</v>
      </c>
      <c r="K31" s="107">
        <v>9</v>
      </c>
      <c r="L31" s="107">
        <v>8</v>
      </c>
      <c r="M31" s="107">
        <v>7</v>
      </c>
      <c r="N31" s="177">
        <f t="shared" si="2"/>
        <v>241</v>
      </c>
    </row>
    <row r="32" spans="1:14" ht="15.75" thickBot="1">
      <c r="A32" s="13" t="s">
        <v>109</v>
      </c>
      <c r="B32" s="156" t="s">
        <v>104</v>
      </c>
      <c r="C32" s="156" t="s">
        <v>104</v>
      </c>
      <c r="D32" s="156" t="s">
        <v>104</v>
      </c>
      <c r="E32" s="156" t="s">
        <v>104</v>
      </c>
      <c r="F32" s="156" t="s">
        <v>104</v>
      </c>
      <c r="G32" s="156" t="s">
        <v>104</v>
      </c>
      <c r="H32" s="156" t="s">
        <v>104</v>
      </c>
      <c r="I32" s="156" t="s">
        <v>104</v>
      </c>
      <c r="J32" s="156" t="s">
        <v>104</v>
      </c>
      <c r="K32" s="156" t="s">
        <v>104</v>
      </c>
      <c r="L32" s="156" t="s">
        <v>104</v>
      </c>
      <c r="M32" s="156" t="s">
        <v>104</v>
      </c>
      <c r="N32" s="180">
        <f t="shared" si="2"/>
        <v>0</v>
      </c>
    </row>
    <row r="33" spans="1:14" ht="16.5" thickTop="1" thickBot="1">
      <c r="A33" s="140" t="s">
        <v>46</v>
      </c>
      <c r="B33" s="250">
        <f t="shared" ref="B33:M33" si="3">SUM(B26:B32)</f>
        <v>438</v>
      </c>
      <c r="C33" s="250">
        <f t="shared" si="3"/>
        <v>1154</v>
      </c>
      <c r="D33" s="250">
        <f t="shared" si="3"/>
        <v>1017</v>
      </c>
      <c r="E33" s="250">
        <f t="shared" si="3"/>
        <v>860</v>
      </c>
      <c r="F33" s="250">
        <f t="shared" si="3"/>
        <v>1006</v>
      </c>
      <c r="G33" s="250">
        <f t="shared" si="3"/>
        <v>462</v>
      </c>
      <c r="H33" s="250">
        <f t="shared" si="3"/>
        <v>354</v>
      </c>
      <c r="I33" s="250">
        <f t="shared" si="3"/>
        <v>278</v>
      </c>
      <c r="J33" s="250">
        <f t="shared" si="3"/>
        <v>322</v>
      </c>
      <c r="K33" s="250">
        <f t="shared" si="3"/>
        <v>350</v>
      </c>
      <c r="L33" s="250">
        <f t="shared" si="3"/>
        <v>395</v>
      </c>
      <c r="M33" s="250">
        <f t="shared" si="3"/>
        <v>470</v>
      </c>
      <c r="N33" s="249">
        <f t="shared" si="2"/>
        <v>7106</v>
      </c>
    </row>
    <row r="34" spans="1:14" ht="15.75" thickBot="1">
      <c r="A34" s="6"/>
      <c r="B34" s="204"/>
      <c r="C34" s="204"/>
      <c r="D34" s="204"/>
      <c r="E34" s="204"/>
      <c r="F34" s="204"/>
      <c r="G34" s="204"/>
      <c r="H34" s="204"/>
      <c r="I34" s="204"/>
      <c r="J34" s="204"/>
      <c r="K34" s="204"/>
      <c r="L34" s="204"/>
      <c r="M34" s="204"/>
      <c r="N34" s="182"/>
    </row>
    <row r="35" spans="1:14" ht="15.75" thickBot="1">
      <c r="A35" s="116" t="s">
        <v>20</v>
      </c>
      <c r="B35" s="288"/>
      <c r="C35" s="288">
        <v>645</v>
      </c>
      <c r="D35" s="288"/>
      <c r="E35" s="288">
        <v>5</v>
      </c>
      <c r="F35" s="288"/>
      <c r="G35" s="288">
        <v>121</v>
      </c>
      <c r="H35" s="288"/>
      <c r="I35" s="288">
        <v>345</v>
      </c>
      <c r="J35" s="288"/>
      <c r="K35" s="288">
        <v>310</v>
      </c>
      <c r="L35" s="288"/>
      <c r="M35" s="288">
        <v>280</v>
      </c>
      <c r="N35" s="259">
        <f>SUM(B35:M35)</f>
        <v>1706</v>
      </c>
    </row>
    <row r="36" spans="1:14" ht="15.75" thickBot="1">
      <c r="A36" s="6"/>
      <c r="B36" s="159"/>
      <c r="C36" s="159"/>
      <c r="D36" s="159"/>
      <c r="E36" s="159"/>
      <c r="F36" s="159"/>
      <c r="G36" s="159"/>
      <c r="H36" s="159"/>
      <c r="I36" s="159"/>
      <c r="J36" s="159"/>
      <c r="K36" s="159"/>
      <c r="L36" s="159"/>
      <c r="M36" s="159"/>
      <c r="N36" s="183"/>
    </row>
    <row r="37" spans="1:14" ht="15.75" thickBot="1">
      <c r="A37" s="134" t="s">
        <v>67</v>
      </c>
      <c r="B37" s="251">
        <f>B23+B33+B35</f>
        <v>8179</v>
      </c>
      <c r="C37" s="251">
        <f t="shared" ref="C37:N37" si="4">C23+C33+C35</f>
        <v>11437</v>
      </c>
      <c r="D37" s="251">
        <f t="shared" si="4"/>
        <v>10601</v>
      </c>
      <c r="E37" s="251">
        <f t="shared" si="4"/>
        <v>10083</v>
      </c>
      <c r="F37" s="251">
        <f t="shared" si="4"/>
        <v>8366</v>
      </c>
      <c r="G37" s="251">
        <f t="shared" si="4"/>
        <v>8349</v>
      </c>
      <c r="H37" s="251">
        <f t="shared" si="4"/>
        <v>7852</v>
      </c>
      <c r="I37" s="251">
        <f t="shared" si="4"/>
        <v>7533</v>
      </c>
      <c r="J37" s="251">
        <f t="shared" si="4"/>
        <v>10139</v>
      </c>
      <c r="K37" s="251">
        <f t="shared" si="4"/>
        <v>9269</v>
      </c>
      <c r="L37" s="251">
        <f t="shared" si="4"/>
        <v>8782</v>
      </c>
      <c r="M37" s="251">
        <f t="shared" si="4"/>
        <v>7718</v>
      </c>
      <c r="N37" s="251">
        <f t="shared" si="4"/>
        <v>108308</v>
      </c>
    </row>
  </sheetData>
  <pageMargins left="0.7" right="0.7" top="0.75" bottom="0.75" header="0.3" footer="0.3"/>
  <pageSetup scale="8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N39"/>
  <sheetViews>
    <sheetView showGridLines="0" topLeftCell="A19" workbookViewId="0">
      <selection activeCell="N1" sqref="N1"/>
    </sheetView>
  </sheetViews>
  <sheetFormatPr defaultColWidth="8.85546875" defaultRowHeight="15"/>
  <cols>
    <col min="1" max="1" width="22.42578125" style="17" customWidth="1"/>
    <col min="2" max="13" width="9.28515625" style="17" bestFit="1" customWidth="1"/>
    <col min="14" max="14" width="10.28515625" style="17" bestFit="1" customWidth="1"/>
    <col min="15" max="16384" width="8.85546875" style="17"/>
  </cols>
  <sheetData>
    <row r="1" spans="1:14" ht="17.25" thickBot="1">
      <c r="A1" s="116" t="s">
        <v>0</v>
      </c>
      <c r="B1" s="117">
        <v>40544</v>
      </c>
      <c r="C1" s="117">
        <v>40575</v>
      </c>
      <c r="D1" s="117">
        <v>40603</v>
      </c>
      <c r="E1" s="117">
        <v>40634</v>
      </c>
      <c r="F1" s="117">
        <v>40664</v>
      </c>
      <c r="G1" s="117">
        <v>40695</v>
      </c>
      <c r="H1" s="117">
        <v>40725</v>
      </c>
      <c r="I1" s="117">
        <v>40756</v>
      </c>
      <c r="J1" s="117">
        <v>40787</v>
      </c>
      <c r="K1" s="117">
        <v>40817</v>
      </c>
      <c r="L1" s="117">
        <v>40848</v>
      </c>
      <c r="M1" s="117">
        <v>40878</v>
      </c>
      <c r="N1" s="141" t="s">
        <v>131</v>
      </c>
    </row>
    <row r="2" spans="1:14">
      <c r="A2" s="6"/>
      <c r="B2" s="30"/>
      <c r="C2" s="30"/>
      <c r="D2" s="30"/>
      <c r="E2" s="30"/>
      <c r="F2" s="30"/>
      <c r="G2" s="30"/>
      <c r="H2" s="30"/>
      <c r="I2" s="30"/>
      <c r="J2" s="30"/>
      <c r="K2" s="30"/>
      <c r="L2" s="30"/>
      <c r="M2" s="30"/>
      <c r="N2" s="6"/>
    </row>
    <row r="3" spans="1:14" ht="15.75" thickBot="1">
      <c r="A3" s="6" t="s">
        <v>51</v>
      </c>
      <c r="B3" s="30"/>
      <c r="C3" s="30"/>
      <c r="D3" s="30"/>
      <c r="E3" s="30"/>
      <c r="F3" s="30"/>
      <c r="G3" s="30"/>
      <c r="H3" s="30"/>
      <c r="I3" s="30"/>
      <c r="J3" s="30"/>
      <c r="K3" s="30"/>
      <c r="L3" s="30"/>
      <c r="M3" s="30"/>
      <c r="N3" s="6"/>
    </row>
    <row r="4" spans="1:14">
      <c r="A4" s="138" t="s">
        <v>24</v>
      </c>
      <c r="B4" s="105">
        <v>651</v>
      </c>
      <c r="C4" s="105">
        <v>555</v>
      </c>
      <c r="D4" s="105">
        <v>631</v>
      </c>
      <c r="E4" s="105">
        <v>518</v>
      </c>
      <c r="F4" s="105">
        <v>579</v>
      </c>
      <c r="G4" s="105">
        <v>427</v>
      </c>
      <c r="H4" s="105">
        <v>538</v>
      </c>
      <c r="I4" s="105">
        <v>392</v>
      </c>
      <c r="J4" s="105">
        <v>1250</v>
      </c>
      <c r="K4" s="105">
        <v>610</v>
      </c>
      <c r="L4" s="105">
        <v>842</v>
      </c>
      <c r="M4" s="105">
        <v>638</v>
      </c>
      <c r="N4" s="176">
        <f>SUM(B4:M4)</f>
        <v>7631</v>
      </c>
    </row>
    <row r="5" spans="1:14">
      <c r="A5" s="139" t="s">
        <v>27</v>
      </c>
      <c r="B5" s="107">
        <v>90</v>
      </c>
      <c r="C5" s="107">
        <v>108</v>
      </c>
      <c r="D5" s="107">
        <v>111</v>
      </c>
      <c r="E5" s="107">
        <v>193</v>
      </c>
      <c r="F5" s="107">
        <v>89</v>
      </c>
      <c r="G5" s="107">
        <v>92</v>
      </c>
      <c r="H5" s="107">
        <v>100</v>
      </c>
      <c r="I5" s="107">
        <v>80</v>
      </c>
      <c r="J5" s="107">
        <v>88</v>
      </c>
      <c r="K5" s="107">
        <v>113</v>
      </c>
      <c r="L5" s="107">
        <v>130</v>
      </c>
      <c r="M5" s="107">
        <v>106</v>
      </c>
      <c r="N5" s="177">
        <f t="shared" ref="N5:N23" si="0">SUM(B5:M5)</f>
        <v>1300</v>
      </c>
    </row>
    <row r="6" spans="1:14">
      <c r="A6" s="139" t="s">
        <v>115</v>
      </c>
      <c r="B6" s="107">
        <v>1629</v>
      </c>
      <c r="C6" s="107">
        <v>1657</v>
      </c>
      <c r="D6" s="107">
        <v>1908</v>
      </c>
      <c r="E6" s="107">
        <v>2229</v>
      </c>
      <c r="F6" s="107">
        <v>1414</v>
      </c>
      <c r="G6" s="107">
        <v>2914</v>
      </c>
      <c r="H6" s="107">
        <v>3065</v>
      </c>
      <c r="I6" s="107">
        <v>2225</v>
      </c>
      <c r="J6" s="107">
        <v>2330</v>
      </c>
      <c r="K6" s="107">
        <v>1971</v>
      </c>
      <c r="L6" s="107">
        <v>1949</v>
      </c>
      <c r="M6" s="107">
        <v>1998</v>
      </c>
      <c r="N6" s="177">
        <f t="shared" si="0"/>
        <v>25289</v>
      </c>
    </row>
    <row r="7" spans="1:14" ht="30">
      <c r="A7" s="139" t="s">
        <v>116</v>
      </c>
      <c r="B7" s="107">
        <v>382</v>
      </c>
      <c r="C7" s="107">
        <v>370</v>
      </c>
      <c r="D7" s="107">
        <v>523</v>
      </c>
      <c r="E7" s="107">
        <v>250</v>
      </c>
      <c r="F7" s="107">
        <v>138</v>
      </c>
      <c r="G7" s="107">
        <v>81</v>
      </c>
      <c r="H7" s="107">
        <v>97</v>
      </c>
      <c r="I7" s="107">
        <v>37</v>
      </c>
      <c r="J7" s="107">
        <v>32</v>
      </c>
      <c r="K7" s="107">
        <v>17</v>
      </c>
      <c r="L7" s="107">
        <v>44</v>
      </c>
      <c r="M7" s="107">
        <v>13</v>
      </c>
      <c r="N7" s="177">
        <f t="shared" si="0"/>
        <v>1984</v>
      </c>
    </row>
    <row r="8" spans="1:14">
      <c r="A8" s="139" t="s">
        <v>28</v>
      </c>
      <c r="B8" s="107">
        <v>345</v>
      </c>
      <c r="C8" s="107">
        <v>524</v>
      </c>
      <c r="D8" s="107">
        <v>676</v>
      </c>
      <c r="E8" s="107">
        <v>541</v>
      </c>
      <c r="F8" s="107">
        <v>583</v>
      </c>
      <c r="G8" s="107"/>
      <c r="H8" s="107">
        <v>287</v>
      </c>
      <c r="I8" s="107">
        <v>197</v>
      </c>
      <c r="J8" s="178">
        <v>468</v>
      </c>
      <c r="K8" s="107">
        <v>497</v>
      </c>
      <c r="L8" s="107">
        <v>563</v>
      </c>
      <c r="M8" s="107">
        <v>459</v>
      </c>
      <c r="N8" s="177">
        <f t="shared" si="0"/>
        <v>5140</v>
      </c>
    </row>
    <row r="9" spans="1:14">
      <c r="A9" s="139" t="s">
        <v>81</v>
      </c>
      <c r="B9" s="107">
        <v>1018</v>
      </c>
      <c r="C9" s="107">
        <v>1091</v>
      </c>
      <c r="D9" s="107">
        <v>1334</v>
      </c>
      <c r="E9" s="107">
        <v>827</v>
      </c>
      <c r="F9" s="107">
        <v>340</v>
      </c>
      <c r="G9" s="107">
        <v>666</v>
      </c>
      <c r="H9" s="107">
        <v>1311</v>
      </c>
      <c r="I9" s="107">
        <v>1018</v>
      </c>
      <c r="J9" s="107">
        <v>2068</v>
      </c>
      <c r="K9" s="107">
        <v>1492</v>
      </c>
      <c r="L9" s="107">
        <v>1154</v>
      </c>
      <c r="M9" s="107">
        <v>604</v>
      </c>
      <c r="N9" s="177">
        <f t="shared" si="0"/>
        <v>12923</v>
      </c>
    </row>
    <row r="10" spans="1:14" ht="30">
      <c r="A10" s="139" t="s">
        <v>117</v>
      </c>
      <c r="B10" s="107">
        <v>381</v>
      </c>
      <c r="C10" s="107">
        <v>342</v>
      </c>
      <c r="D10" s="107">
        <v>533</v>
      </c>
      <c r="E10" s="107">
        <v>306</v>
      </c>
      <c r="F10" s="107">
        <v>64</v>
      </c>
      <c r="G10" s="107">
        <v>638</v>
      </c>
      <c r="H10" s="107">
        <v>50</v>
      </c>
      <c r="I10" s="107">
        <v>197</v>
      </c>
      <c r="J10" s="107">
        <v>294</v>
      </c>
      <c r="K10" s="107">
        <v>250</v>
      </c>
      <c r="L10" s="107">
        <v>396</v>
      </c>
      <c r="M10" s="107">
        <v>234</v>
      </c>
      <c r="N10" s="177">
        <f t="shared" si="0"/>
        <v>3685</v>
      </c>
    </row>
    <row r="11" spans="1:14">
      <c r="A11" s="139" t="s">
        <v>33</v>
      </c>
      <c r="B11" s="107" t="s">
        <v>104</v>
      </c>
      <c r="C11" s="107" t="s">
        <v>104</v>
      </c>
      <c r="D11" s="107" t="s">
        <v>104</v>
      </c>
      <c r="E11" s="107" t="s">
        <v>104</v>
      </c>
      <c r="F11" s="107" t="s">
        <v>104</v>
      </c>
      <c r="G11" s="107" t="s">
        <v>104</v>
      </c>
      <c r="H11" s="107" t="s">
        <v>104</v>
      </c>
      <c r="I11" s="107" t="s">
        <v>104</v>
      </c>
      <c r="J11" s="107" t="s">
        <v>104</v>
      </c>
      <c r="K11" s="107" t="s">
        <v>104</v>
      </c>
      <c r="L11" s="107" t="s">
        <v>104</v>
      </c>
      <c r="M11" s="107" t="s">
        <v>104</v>
      </c>
      <c r="N11" s="177" t="s">
        <v>42</v>
      </c>
    </row>
    <row r="12" spans="1:14">
      <c r="A12" s="139" t="s">
        <v>76</v>
      </c>
      <c r="B12" s="107">
        <v>453</v>
      </c>
      <c r="C12" s="107">
        <v>487</v>
      </c>
      <c r="D12" s="107">
        <v>620</v>
      </c>
      <c r="E12" s="107">
        <v>558</v>
      </c>
      <c r="F12" s="107">
        <v>362</v>
      </c>
      <c r="G12" s="107">
        <v>598</v>
      </c>
      <c r="H12" s="107">
        <v>665</v>
      </c>
      <c r="I12" s="107">
        <v>1027</v>
      </c>
      <c r="J12" s="107">
        <v>493</v>
      </c>
      <c r="K12" s="107">
        <v>704</v>
      </c>
      <c r="L12" s="107">
        <v>783</v>
      </c>
      <c r="M12" s="107">
        <v>354</v>
      </c>
      <c r="N12" s="177">
        <f t="shared" si="0"/>
        <v>7104</v>
      </c>
    </row>
    <row r="13" spans="1:14">
      <c r="A13" s="139" t="s">
        <v>29</v>
      </c>
      <c r="B13" s="107">
        <v>682</v>
      </c>
      <c r="C13" s="107">
        <v>701</v>
      </c>
      <c r="D13" s="107">
        <v>771</v>
      </c>
      <c r="E13" s="107">
        <v>623</v>
      </c>
      <c r="F13" s="107">
        <v>698</v>
      </c>
      <c r="G13" s="107">
        <v>672</v>
      </c>
      <c r="H13" s="107">
        <v>678</v>
      </c>
      <c r="I13" s="107">
        <v>512</v>
      </c>
      <c r="J13" s="107">
        <v>628</v>
      </c>
      <c r="K13" s="107">
        <v>607</v>
      </c>
      <c r="L13" s="107">
        <v>600</v>
      </c>
      <c r="M13" s="107">
        <v>374</v>
      </c>
      <c r="N13" s="177">
        <f t="shared" si="0"/>
        <v>7546</v>
      </c>
    </row>
    <row r="14" spans="1:14">
      <c r="A14" s="3" t="s">
        <v>34</v>
      </c>
      <c r="B14" s="107" t="s">
        <v>104</v>
      </c>
      <c r="C14" s="107" t="s">
        <v>104</v>
      </c>
      <c r="D14" s="107" t="s">
        <v>104</v>
      </c>
      <c r="E14" s="107" t="s">
        <v>104</v>
      </c>
      <c r="F14" s="107" t="s">
        <v>104</v>
      </c>
      <c r="G14" s="107" t="s">
        <v>104</v>
      </c>
      <c r="H14" s="107" t="s">
        <v>104</v>
      </c>
      <c r="I14" s="107" t="s">
        <v>104</v>
      </c>
      <c r="J14" s="107" t="s">
        <v>104</v>
      </c>
      <c r="K14" s="107" t="s">
        <v>104</v>
      </c>
      <c r="L14" s="107" t="s">
        <v>104</v>
      </c>
      <c r="M14" s="107" t="s">
        <v>104</v>
      </c>
      <c r="N14" s="177" t="s">
        <v>42</v>
      </c>
    </row>
    <row r="15" spans="1:14">
      <c r="A15" s="139" t="s">
        <v>119</v>
      </c>
      <c r="B15" s="107">
        <v>53</v>
      </c>
      <c r="C15" s="107">
        <v>81</v>
      </c>
      <c r="D15" s="107">
        <v>2</v>
      </c>
      <c r="E15" s="107">
        <v>35</v>
      </c>
      <c r="F15" s="107">
        <v>4</v>
      </c>
      <c r="G15" s="107">
        <v>2</v>
      </c>
      <c r="H15" s="107">
        <v>8</v>
      </c>
      <c r="I15" s="107">
        <v>45</v>
      </c>
      <c r="J15" s="107">
        <v>29</v>
      </c>
      <c r="K15" s="107">
        <v>2</v>
      </c>
      <c r="L15" s="107">
        <v>2</v>
      </c>
      <c r="M15" s="107">
        <v>1</v>
      </c>
      <c r="N15" s="177">
        <f t="shared" si="0"/>
        <v>264</v>
      </c>
    </row>
    <row r="16" spans="1:14">
      <c r="A16" s="139" t="s">
        <v>2</v>
      </c>
      <c r="B16" s="107">
        <v>128</v>
      </c>
      <c r="C16" s="107">
        <v>135</v>
      </c>
      <c r="D16" s="107">
        <v>137</v>
      </c>
      <c r="E16" s="107">
        <v>139</v>
      </c>
      <c r="F16" s="107">
        <v>142</v>
      </c>
      <c r="G16" s="107">
        <v>128</v>
      </c>
      <c r="H16" s="107">
        <v>127</v>
      </c>
      <c r="I16" s="107">
        <v>125</v>
      </c>
      <c r="J16" s="107">
        <v>155</v>
      </c>
      <c r="K16" s="107">
        <v>255</v>
      </c>
      <c r="L16" s="107">
        <v>166</v>
      </c>
      <c r="M16" s="107">
        <v>88</v>
      </c>
      <c r="N16" s="177">
        <f t="shared" si="0"/>
        <v>1725</v>
      </c>
    </row>
    <row r="17" spans="1:14" ht="30">
      <c r="A17" s="139" t="s">
        <v>30</v>
      </c>
      <c r="B17" s="107">
        <v>0</v>
      </c>
      <c r="C17" s="107">
        <v>0</v>
      </c>
      <c r="D17" s="107">
        <v>0</v>
      </c>
      <c r="E17" s="107">
        <v>0</v>
      </c>
      <c r="F17" s="107">
        <v>46</v>
      </c>
      <c r="G17" s="107">
        <v>0</v>
      </c>
      <c r="H17" s="107">
        <v>88</v>
      </c>
      <c r="I17" s="107">
        <v>0</v>
      </c>
      <c r="J17" s="107">
        <v>0</v>
      </c>
      <c r="K17" s="107">
        <v>0</v>
      </c>
      <c r="L17" s="107">
        <v>0</v>
      </c>
      <c r="M17" s="107">
        <v>0</v>
      </c>
      <c r="N17" s="177">
        <f t="shared" si="0"/>
        <v>134</v>
      </c>
    </row>
    <row r="18" spans="1:14">
      <c r="A18" s="139" t="s">
        <v>120</v>
      </c>
      <c r="B18" s="107">
        <v>627</v>
      </c>
      <c r="C18" s="107">
        <v>593</v>
      </c>
      <c r="D18" s="107">
        <v>605</v>
      </c>
      <c r="E18" s="107">
        <v>423</v>
      </c>
      <c r="F18" s="107">
        <v>359</v>
      </c>
      <c r="G18" s="107">
        <v>400</v>
      </c>
      <c r="H18" s="107">
        <v>377</v>
      </c>
      <c r="I18" s="107">
        <v>366</v>
      </c>
      <c r="J18" s="107">
        <v>850</v>
      </c>
      <c r="K18" s="107">
        <v>631</v>
      </c>
      <c r="L18" s="107">
        <v>829</v>
      </c>
      <c r="M18" s="107">
        <v>492</v>
      </c>
      <c r="N18" s="177">
        <f t="shared" si="0"/>
        <v>6552</v>
      </c>
    </row>
    <row r="19" spans="1:14" ht="30">
      <c r="A19" s="139" t="s">
        <v>122</v>
      </c>
      <c r="B19" s="107">
        <v>421</v>
      </c>
      <c r="C19" s="107">
        <v>536</v>
      </c>
      <c r="D19" s="107">
        <v>835</v>
      </c>
      <c r="E19" s="107">
        <v>497</v>
      </c>
      <c r="F19" s="107">
        <v>162</v>
      </c>
      <c r="G19" s="107">
        <v>181</v>
      </c>
      <c r="H19" s="107">
        <v>144</v>
      </c>
      <c r="I19" s="107">
        <v>90</v>
      </c>
      <c r="J19" s="107">
        <v>770</v>
      </c>
      <c r="K19" s="107">
        <v>699</v>
      </c>
      <c r="L19" s="107">
        <v>939</v>
      </c>
      <c r="M19" s="107">
        <v>444</v>
      </c>
      <c r="N19" s="177">
        <f t="shared" si="0"/>
        <v>5718</v>
      </c>
    </row>
    <row r="20" spans="1:14" ht="30">
      <c r="A20" s="139" t="s">
        <v>121</v>
      </c>
      <c r="B20" s="107">
        <v>381</v>
      </c>
      <c r="C20" s="107">
        <v>491</v>
      </c>
      <c r="D20" s="107">
        <v>819</v>
      </c>
      <c r="E20" s="107">
        <v>523</v>
      </c>
      <c r="F20" s="107">
        <v>59</v>
      </c>
      <c r="G20" s="107">
        <v>72</v>
      </c>
      <c r="H20" s="107">
        <v>52</v>
      </c>
      <c r="I20" s="107">
        <v>75</v>
      </c>
      <c r="J20" s="107">
        <v>761</v>
      </c>
      <c r="K20" s="107">
        <v>603</v>
      </c>
      <c r="L20" s="107">
        <v>869</v>
      </c>
      <c r="M20" s="107">
        <v>466</v>
      </c>
      <c r="N20" s="177">
        <f t="shared" si="0"/>
        <v>5171</v>
      </c>
    </row>
    <row r="21" spans="1:14">
      <c r="A21" s="139" t="s">
        <v>31</v>
      </c>
      <c r="B21" s="107">
        <v>92</v>
      </c>
      <c r="C21" s="107">
        <v>94</v>
      </c>
      <c r="D21" s="107">
        <v>124</v>
      </c>
      <c r="E21" s="107">
        <v>68</v>
      </c>
      <c r="F21" s="107">
        <v>13</v>
      </c>
      <c r="G21" s="107">
        <v>15</v>
      </c>
      <c r="H21" s="107">
        <v>90</v>
      </c>
      <c r="I21" s="107">
        <v>107</v>
      </c>
      <c r="J21" s="107">
        <v>367</v>
      </c>
      <c r="K21" s="107">
        <v>349</v>
      </c>
      <c r="L21" s="107">
        <v>591</v>
      </c>
      <c r="M21" s="107">
        <v>300</v>
      </c>
      <c r="N21" s="177">
        <f t="shared" si="0"/>
        <v>2210</v>
      </c>
    </row>
    <row r="22" spans="1:14">
      <c r="A22" s="139" t="s">
        <v>123</v>
      </c>
      <c r="B22" s="107"/>
      <c r="C22" s="107">
        <v>92</v>
      </c>
      <c r="D22" s="107">
        <v>35</v>
      </c>
      <c r="E22" s="107">
        <v>16</v>
      </c>
      <c r="F22" s="107">
        <v>1</v>
      </c>
      <c r="G22" s="107">
        <v>1</v>
      </c>
      <c r="H22" s="107">
        <v>1</v>
      </c>
      <c r="I22" s="107">
        <v>0</v>
      </c>
      <c r="J22" s="107">
        <v>98</v>
      </c>
      <c r="K22" s="107">
        <v>211</v>
      </c>
      <c r="L22" s="107">
        <v>267</v>
      </c>
      <c r="M22" s="107">
        <v>206</v>
      </c>
      <c r="N22" s="177">
        <f t="shared" si="0"/>
        <v>928</v>
      </c>
    </row>
    <row r="23" spans="1:14" ht="15.75" thickBot="1">
      <c r="A23" s="139" t="s">
        <v>23</v>
      </c>
      <c r="B23" s="156">
        <v>268</v>
      </c>
      <c r="C23" s="156">
        <v>138</v>
      </c>
      <c r="D23" s="156">
        <v>148</v>
      </c>
      <c r="E23" s="156">
        <v>263</v>
      </c>
      <c r="F23" s="156">
        <v>145</v>
      </c>
      <c r="G23" s="156">
        <v>123</v>
      </c>
      <c r="H23" s="156">
        <v>101</v>
      </c>
      <c r="I23" s="156">
        <v>110</v>
      </c>
      <c r="J23" s="156">
        <v>179</v>
      </c>
      <c r="K23" s="156">
        <v>145</v>
      </c>
      <c r="L23" s="156">
        <v>155</v>
      </c>
      <c r="M23" s="156">
        <v>103</v>
      </c>
      <c r="N23" s="180">
        <f t="shared" si="0"/>
        <v>1878</v>
      </c>
    </row>
    <row r="24" spans="1:14" ht="16.5" customHeight="1" thickTop="1" thickBot="1">
      <c r="A24" s="140" t="s">
        <v>45</v>
      </c>
      <c r="B24" s="248">
        <f t="shared" ref="B24:N24" si="1">SUM(B4:B23)</f>
        <v>7601</v>
      </c>
      <c r="C24" s="248">
        <f t="shared" si="1"/>
        <v>7995</v>
      </c>
      <c r="D24" s="248">
        <f t="shared" si="1"/>
        <v>9812</v>
      </c>
      <c r="E24" s="248">
        <f t="shared" si="1"/>
        <v>8009</v>
      </c>
      <c r="F24" s="248">
        <f t="shared" si="1"/>
        <v>5198</v>
      </c>
      <c r="G24" s="248">
        <f t="shared" si="1"/>
        <v>7010</v>
      </c>
      <c r="H24" s="248">
        <f t="shared" si="1"/>
        <v>7779</v>
      </c>
      <c r="I24" s="248">
        <f t="shared" si="1"/>
        <v>6603</v>
      </c>
      <c r="J24" s="248">
        <f t="shared" si="1"/>
        <v>10860</v>
      </c>
      <c r="K24" s="248">
        <f t="shared" si="1"/>
        <v>9156</v>
      </c>
      <c r="L24" s="248">
        <f t="shared" si="1"/>
        <v>10279</v>
      </c>
      <c r="M24" s="248">
        <f t="shared" si="1"/>
        <v>6880</v>
      </c>
      <c r="N24" s="249">
        <f t="shared" si="1"/>
        <v>97182</v>
      </c>
    </row>
    <row r="25" spans="1:14">
      <c r="A25" s="6"/>
      <c r="B25" s="182"/>
      <c r="C25" s="182"/>
      <c r="D25" s="182"/>
      <c r="E25" s="182"/>
      <c r="F25" s="182"/>
      <c r="G25" s="182"/>
      <c r="H25" s="182"/>
      <c r="I25" s="182"/>
      <c r="J25" s="182"/>
      <c r="K25" s="182"/>
      <c r="L25" s="182"/>
      <c r="M25" s="182"/>
      <c r="N25" s="182"/>
    </row>
    <row r="26" spans="1:14" ht="15.75" thickBot="1">
      <c r="A26" s="6" t="s">
        <v>8</v>
      </c>
      <c r="B26" s="182"/>
      <c r="C26" s="182"/>
      <c r="D26" s="182"/>
      <c r="E26" s="182"/>
      <c r="F26" s="182"/>
      <c r="G26" s="182"/>
      <c r="H26" s="182"/>
      <c r="I26" s="182"/>
      <c r="J26" s="182"/>
      <c r="K26" s="182"/>
      <c r="L26" s="182"/>
      <c r="M26" s="182"/>
      <c r="N26" s="182"/>
    </row>
    <row r="27" spans="1:14">
      <c r="A27" s="136" t="s">
        <v>105</v>
      </c>
      <c r="B27" s="105">
        <v>327</v>
      </c>
      <c r="C27" s="105">
        <v>554</v>
      </c>
      <c r="D27" s="105">
        <v>275</v>
      </c>
      <c r="E27" s="105">
        <v>296</v>
      </c>
      <c r="F27" s="105">
        <v>347</v>
      </c>
      <c r="G27" s="105">
        <v>268</v>
      </c>
      <c r="H27" s="105">
        <v>162</v>
      </c>
      <c r="I27" s="105">
        <v>67</v>
      </c>
      <c r="J27" s="105">
        <v>67</v>
      </c>
      <c r="K27" s="105">
        <v>65</v>
      </c>
      <c r="L27" s="105">
        <v>59</v>
      </c>
      <c r="M27" s="105">
        <v>66</v>
      </c>
      <c r="N27" s="253">
        <f>SUM(B27:M27)</f>
        <v>2553</v>
      </c>
    </row>
    <row r="28" spans="1:14">
      <c r="A28" s="13" t="s">
        <v>85</v>
      </c>
      <c r="B28" s="178" t="s">
        <v>104</v>
      </c>
      <c r="C28" s="178" t="s">
        <v>104</v>
      </c>
      <c r="D28" s="178" t="s">
        <v>104</v>
      </c>
      <c r="E28" s="178" t="s">
        <v>104</v>
      </c>
      <c r="F28" s="178" t="s">
        <v>104</v>
      </c>
      <c r="G28" s="178" t="s">
        <v>104</v>
      </c>
      <c r="H28" s="178" t="s">
        <v>104</v>
      </c>
      <c r="I28" s="178" t="s">
        <v>104</v>
      </c>
      <c r="J28" s="178" t="s">
        <v>104</v>
      </c>
      <c r="K28" s="107">
        <v>65</v>
      </c>
      <c r="L28" s="107">
        <v>44</v>
      </c>
      <c r="M28" s="107">
        <v>32</v>
      </c>
      <c r="N28" s="254">
        <f>SUM(B28:M28)</f>
        <v>141</v>
      </c>
    </row>
    <row r="29" spans="1:14">
      <c r="A29" s="13" t="s">
        <v>106</v>
      </c>
      <c r="B29" s="178">
        <v>1</v>
      </c>
      <c r="C29" s="178">
        <v>3</v>
      </c>
      <c r="D29" s="178">
        <v>3</v>
      </c>
      <c r="E29" s="178">
        <v>2</v>
      </c>
      <c r="F29" s="107">
        <v>1</v>
      </c>
      <c r="G29" s="107">
        <v>1</v>
      </c>
      <c r="H29" s="107">
        <v>0</v>
      </c>
      <c r="I29" s="107">
        <v>0</v>
      </c>
      <c r="J29" s="107">
        <v>1</v>
      </c>
      <c r="K29" s="107">
        <v>5</v>
      </c>
      <c r="L29" s="107">
        <v>0</v>
      </c>
      <c r="M29" s="107">
        <v>2</v>
      </c>
      <c r="N29" s="254">
        <f>SUM(B29:M29)</f>
        <v>19</v>
      </c>
    </row>
    <row r="30" spans="1:14">
      <c r="A30" s="13" t="s">
        <v>107</v>
      </c>
      <c r="B30" s="107">
        <v>83</v>
      </c>
      <c r="C30" s="107">
        <v>182</v>
      </c>
      <c r="D30" s="107">
        <v>110</v>
      </c>
      <c r="E30" s="107">
        <v>153</v>
      </c>
      <c r="F30" s="107">
        <v>81</v>
      </c>
      <c r="G30" s="107">
        <v>83</v>
      </c>
      <c r="H30" s="107">
        <v>70</v>
      </c>
      <c r="I30" s="107">
        <v>87</v>
      </c>
      <c r="J30" s="107">
        <v>135</v>
      </c>
      <c r="K30" s="107">
        <v>135</v>
      </c>
      <c r="L30" s="107">
        <v>137</v>
      </c>
      <c r="M30" s="107">
        <v>146</v>
      </c>
      <c r="N30" s="254">
        <f>SUM(B33:M33)</f>
        <v>76</v>
      </c>
    </row>
    <row r="31" spans="1:14">
      <c r="A31" s="13" t="s">
        <v>108</v>
      </c>
      <c r="B31" s="107">
        <v>3</v>
      </c>
      <c r="C31" s="107">
        <v>7</v>
      </c>
      <c r="D31" s="107">
        <v>5</v>
      </c>
      <c r="E31" s="107">
        <v>3</v>
      </c>
      <c r="F31" s="107">
        <v>8</v>
      </c>
      <c r="G31" s="107">
        <v>4</v>
      </c>
      <c r="H31" s="107">
        <v>3</v>
      </c>
      <c r="I31" s="107">
        <v>3</v>
      </c>
      <c r="J31" s="107">
        <v>3</v>
      </c>
      <c r="K31" s="107">
        <v>9</v>
      </c>
      <c r="L31" s="107">
        <v>8</v>
      </c>
      <c r="M31" s="107">
        <v>8</v>
      </c>
      <c r="N31" s="254">
        <f>SUM(B31:M31)</f>
        <v>64</v>
      </c>
    </row>
    <row r="32" spans="1:14">
      <c r="A32" s="13" t="s">
        <v>87</v>
      </c>
      <c r="B32" s="107">
        <v>5</v>
      </c>
      <c r="C32" s="107">
        <v>15</v>
      </c>
      <c r="D32" s="107">
        <v>12</v>
      </c>
      <c r="E32" s="107">
        <v>15</v>
      </c>
      <c r="F32" s="107">
        <v>9</v>
      </c>
      <c r="G32" s="107">
        <v>9</v>
      </c>
      <c r="H32" s="107">
        <v>6</v>
      </c>
      <c r="I32" s="107">
        <v>4</v>
      </c>
      <c r="J32" s="107">
        <v>8</v>
      </c>
      <c r="K32" s="107">
        <v>23</v>
      </c>
      <c r="L32" s="107">
        <v>28</v>
      </c>
      <c r="M32" s="107">
        <v>19</v>
      </c>
      <c r="N32" s="254">
        <f>SUM(B30:M30)</f>
        <v>1402</v>
      </c>
    </row>
    <row r="33" spans="1:14">
      <c r="A33" s="13" t="s">
        <v>88</v>
      </c>
      <c r="B33" s="107">
        <v>6</v>
      </c>
      <c r="C33" s="107">
        <v>14</v>
      </c>
      <c r="D33" s="107">
        <v>9</v>
      </c>
      <c r="E33" s="107">
        <v>9</v>
      </c>
      <c r="F33" s="107">
        <v>3</v>
      </c>
      <c r="G33" s="107">
        <v>3</v>
      </c>
      <c r="H33" s="107">
        <v>2</v>
      </c>
      <c r="I33" s="107">
        <v>1</v>
      </c>
      <c r="J33" s="107">
        <v>5</v>
      </c>
      <c r="K33" s="107">
        <v>8</v>
      </c>
      <c r="L33" s="107">
        <v>8</v>
      </c>
      <c r="M33" s="107">
        <v>8</v>
      </c>
      <c r="N33" s="254">
        <f>SUM(B32:M32)</f>
        <v>153</v>
      </c>
    </row>
    <row r="34" spans="1:14" ht="15.75" thickBot="1">
      <c r="A34" s="13" t="s">
        <v>109</v>
      </c>
      <c r="B34" s="156" t="s">
        <v>104</v>
      </c>
      <c r="C34" s="156" t="s">
        <v>104</v>
      </c>
      <c r="D34" s="156" t="s">
        <v>104</v>
      </c>
      <c r="E34" s="156" t="s">
        <v>104</v>
      </c>
      <c r="F34" s="156" t="s">
        <v>104</v>
      </c>
      <c r="G34" s="156" t="s">
        <v>104</v>
      </c>
      <c r="H34" s="156" t="s">
        <v>104</v>
      </c>
      <c r="I34" s="156" t="s">
        <v>104</v>
      </c>
      <c r="J34" s="156" t="s">
        <v>104</v>
      </c>
      <c r="K34" s="156" t="s">
        <v>104</v>
      </c>
      <c r="L34" s="156" t="s">
        <v>104</v>
      </c>
      <c r="M34" s="156" t="s">
        <v>104</v>
      </c>
      <c r="N34" s="255" t="s">
        <v>42</v>
      </c>
    </row>
    <row r="35" spans="1:14" ht="16.5" thickTop="1" thickBot="1">
      <c r="A35" s="140" t="s">
        <v>46</v>
      </c>
      <c r="B35" s="248">
        <f>SUM(B27:B33)</f>
        <v>425</v>
      </c>
      <c r="C35" s="248">
        <f t="shared" ref="C35:N35" si="2">SUM(C27:C33)</f>
        <v>775</v>
      </c>
      <c r="D35" s="248">
        <f t="shared" si="2"/>
        <v>414</v>
      </c>
      <c r="E35" s="248">
        <f t="shared" si="2"/>
        <v>478</v>
      </c>
      <c r="F35" s="248">
        <f t="shared" si="2"/>
        <v>449</v>
      </c>
      <c r="G35" s="248">
        <f t="shared" si="2"/>
        <v>368</v>
      </c>
      <c r="H35" s="248">
        <f t="shared" si="2"/>
        <v>243</v>
      </c>
      <c r="I35" s="248">
        <f t="shared" si="2"/>
        <v>162</v>
      </c>
      <c r="J35" s="248">
        <f t="shared" si="2"/>
        <v>219</v>
      </c>
      <c r="K35" s="248">
        <f t="shared" si="2"/>
        <v>310</v>
      </c>
      <c r="L35" s="248">
        <f t="shared" si="2"/>
        <v>284</v>
      </c>
      <c r="M35" s="248">
        <f t="shared" si="2"/>
        <v>281</v>
      </c>
      <c r="N35" s="249">
        <f t="shared" si="2"/>
        <v>4408</v>
      </c>
    </row>
    <row r="36" spans="1:14" ht="15.75" thickBot="1">
      <c r="A36" s="6"/>
      <c r="B36" s="182"/>
      <c r="C36" s="182"/>
      <c r="D36" s="182"/>
      <c r="E36" s="182"/>
      <c r="F36" s="182"/>
      <c r="G36" s="182"/>
      <c r="H36" s="182"/>
      <c r="I36" s="182"/>
      <c r="J36" s="182"/>
      <c r="K36" s="182"/>
      <c r="L36" s="182"/>
      <c r="M36" s="182"/>
      <c r="N36" s="182"/>
    </row>
    <row r="37" spans="1:14" ht="15.75" thickBot="1">
      <c r="A37" s="116" t="s">
        <v>20</v>
      </c>
      <c r="B37" s="258"/>
      <c r="C37" s="258">
        <v>115</v>
      </c>
      <c r="D37" s="258"/>
      <c r="E37" s="258">
        <v>120</v>
      </c>
      <c r="F37" s="258"/>
      <c r="G37" s="258">
        <v>135</v>
      </c>
      <c r="H37" s="258"/>
      <c r="I37" s="258">
        <v>95</v>
      </c>
      <c r="J37" s="258"/>
      <c r="K37" s="258">
        <v>140</v>
      </c>
      <c r="L37" s="258"/>
      <c r="M37" s="258">
        <v>195</v>
      </c>
      <c r="N37" s="259">
        <f>SUM(B37:M37)</f>
        <v>800</v>
      </c>
    </row>
    <row r="38" spans="1:14" ht="15.75" thickBot="1">
      <c r="A38" s="6"/>
      <c r="B38" s="182"/>
      <c r="C38" s="182"/>
      <c r="D38" s="182"/>
      <c r="E38" s="182"/>
      <c r="F38" s="182"/>
      <c r="G38" s="182"/>
      <c r="H38" s="182"/>
      <c r="I38" s="182"/>
      <c r="J38" s="182"/>
      <c r="K38" s="182"/>
      <c r="L38" s="182"/>
      <c r="M38" s="182"/>
      <c r="N38" s="182"/>
    </row>
    <row r="39" spans="1:14" ht="15.75" thickBot="1">
      <c r="A39" s="134" t="s">
        <v>67</v>
      </c>
      <c r="B39" s="251">
        <f>B24+B35+B37</f>
        <v>8026</v>
      </c>
      <c r="C39" s="251">
        <f t="shared" ref="C39:N39" si="3">C24+C35+C37</f>
        <v>8885</v>
      </c>
      <c r="D39" s="251">
        <f t="shared" si="3"/>
        <v>10226</v>
      </c>
      <c r="E39" s="251">
        <f t="shared" si="3"/>
        <v>8607</v>
      </c>
      <c r="F39" s="251">
        <f t="shared" si="3"/>
        <v>5647</v>
      </c>
      <c r="G39" s="251">
        <f t="shared" si="3"/>
        <v>7513</v>
      </c>
      <c r="H39" s="251">
        <f t="shared" si="3"/>
        <v>8022</v>
      </c>
      <c r="I39" s="251">
        <f t="shared" si="3"/>
        <v>6860</v>
      </c>
      <c r="J39" s="251">
        <f t="shared" si="3"/>
        <v>11079</v>
      </c>
      <c r="K39" s="251">
        <f t="shared" si="3"/>
        <v>9606</v>
      </c>
      <c r="L39" s="251">
        <f t="shared" si="3"/>
        <v>10563</v>
      </c>
      <c r="M39" s="251">
        <f t="shared" si="3"/>
        <v>7356</v>
      </c>
      <c r="N39" s="251">
        <f t="shared" si="3"/>
        <v>102390</v>
      </c>
    </row>
  </sheetData>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showGridLines="0" workbookViewId="0">
      <selection activeCell="N1" sqref="N1"/>
    </sheetView>
  </sheetViews>
  <sheetFormatPr defaultColWidth="8.85546875" defaultRowHeight="15"/>
  <cols>
    <col min="1" max="1" width="23" style="29" customWidth="1"/>
    <col min="2" max="3" width="11" style="17" bestFit="1" customWidth="1"/>
    <col min="4" max="4" width="10.85546875" style="17" bestFit="1" customWidth="1"/>
    <col min="5" max="5" width="11" style="17" bestFit="1" customWidth="1"/>
    <col min="6" max="6" width="11.85546875" style="17" customWidth="1"/>
    <col min="7" max="7" width="10.85546875" style="17" customWidth="1"/>
    <col min="8" max="9" width="11" style="17" customWidth="1"/>
    <col min="10" max="10" width="11.42578125" style="17" customWidth="1"/>
    <col min="11" max="11" width="11.140625" style="17" customWidth="1"/>
    <col min="12" max="12" width="10.28515625" style="17" customWidth="1"/>
    <col min="13" max="13" width="10.85546875" style="17" bestFit="1" customWidth="1"/>
    <col min="14" max="14" width="12.140625" style="17" bestFit="1" customWidth="1"/>
    <col min="15" max="16384" width="8.85546875" style="17"/>
  </cols>
  <sheetData>
    <row r="1" spans="1:14" ht="15.75" thickBot="1">
      <c r="A1" s="70" t="s">
        <v>0</v>
      </c>
      <c r="B1" s="71">
        <v>39448</v>
      </c>
      <c r="C1" s="71">
        <v>39479</v>
      </c>
      <c r="D1" s="71">
        <v>39508</v>
      </c>
      <c r="E1" s="71">
        <v>39539</v>
      </c>
      <c r="F1" s="71">
        <v>39569</v>
      </c>
      <c r="G1" s="71">
        <v>39600</v>
      </c>
      <c r="H1" s="71">
        <v>39630</v>
      </c>
      <c r="I1" s="71">
        <v>39661</v>
      </c>
      <c r="J1" s="71">
        <v>39692</v>
      </c>
      <c r="K1" s="71">
        <v>39722</v>
      </c>
      <c r="L1" s="71">
        <v>39753</v>
      </c>
      <c r="M1" s="71">
        <v>39783</v>
      </c>
      <c r="N1" s="36" t="s">
        <v>130</v>
      </c>
    </row>
    <row r="2" spans="1:14">
      <c r="A2" s="54"/>
      <c r="B2" s="49"/>
      <c r="C2" s="49"/>
      <c r="D2" s="49"/>
      <c r="E2" s="49"/>
      <c r="F2" s="49"/>
      <c r="G2" s="49"/>
      <c r="H2" s="49"/>
      <c r="I2" s="49"/>
      <c r="J2" s="49"/>
      <c r="K2" s="49"/>
      <c r="L2" s="49"/>
      <c r="M2" s="49"/>
      <c r="N2" s="50"/>
    </row>
    <row r="3" spans="1:14" ht="15.75" thickBot="1">
      <c r="A3" s="39" t="s">
        <v>1</v>
      </c>
      <c r="B3" s="30"/>
      <c r="C3" s="30"/>
      <c r="D3" s="30"/>
      <c r="E3" s="30"/>
      <c r="F3" s="30"/>
      <c r="G3" s="30"/>
      <c r="H3" s="30"/>
      <c r="I3" s="30"/>
      <c r="J3" s="30"/>
      <c r="K3" s="30"/>
      <c r="L3" s="30"/>
      <c r="M3" s="30"/>
      <c r="N3" s="31"/>
    </row>
    <row r="4" spans="1:14" ht="30">
      <c r="A4" s="28" t="s">
        <v>55</v>
      </c>
      <c r="B4" s="14">
        <v>1228269</v>
      </c>
      <c r="C4" s="14">
        <v>1198129</v>
      </c>
      <c r="D4" s="14">
        <v>894540</v>
      </c>
      <c r="E4" s="14">
        <v>1009619</v>
      </c>
      <c r="F4" s="14">
        <v>724456</v>
      </c>
      <c r="G4" s="14">
        <v>847350</v>
      </c>
      <c r="H4" s="14">
        <v>792926</v>
      </c>
      <c r="I4" s="14">
        <v>610596</v>
      </c>
      <c r="J4" s="14">
        <v>846007</v>
      </c>
      <c r="K4" s="14">
        <v>529206</v>
      </c>
      <c r="L4" s="14">
        <v>680496</v>
      </c>
      <c r="M4" s="14">
        <v>788985</v>
      </c>
      <c r="N4" s="8">
        <f>SUM(B4:M4)</f>
        <v>10150579</v>
      </c>
    </row>
    <row r="5" spans="1:14">
      <c r="A5" s="33" t="s">
        <v>2</v>
      </c>
      <c r="B5" s="15">
        <v>58015</v>
      </c>
      <c r="C5" s="15">
        <v>62993</v>
      </c>
      <c r="D5" s="15">
        <v>65978</v>
      </c>
      <c r="E5" s="15">
        <v>63399</v>
      </c>
      <c r="F5" s="15">
        <v>49279</v>
      </c>
      <c r="G5" s="15">
        <v>44496</v>
      </c>
      <c r="H5" s="15">
        <v>42984</v>
      </c>
      <c r="I5" s="15">
        <v>51023</v>
      </c>
      <c r="J5" s="15">
        <v>50266</v>
      </c>
      <c r="K5" s="15">
        <v>54141</v>
      </c>
      <c r="L5" s="15">
        <v>55331</v>
      </c>
      <c r="M5" s="15">
        <v>60484</v>
      </c>
      <c r="N5" s="9">
        <f>SUM(B5:M5)</f>
        <v>658389</v>
      </c>
    </row>
    <row r="6" spans="1:14">
      <c r="A6" s="33" t="s">
        <v>57</v>
      </c>
      <c r="B6" s="15">
        <v>1578</v>
      </c>
      <c r="C6" s="15">
        <v>1318</v>
      </c>
      <c r="D6" s="15">
        <v>699</v>
      </c>
      <c r="E6" s="15">
        <v>401</v>
      </c>
      <c r="F6" s="15">
        <v>124</v>
      </c>
      <c r="G6" s="15">
        <v>91</v>
      </c>
      <c r="H6" s="15">
        <v>106</v>
      </c>
      <c r="I6" s="15">
        <v>203</v>
      </c>
      <c r="J6" s="15">
        <v>510</v>
      </c>
      <c r="K6" s="15">
        <v>706</v>
      </c>
      <c r="L6" s="15">
        <v>1035</v>
      </c>
      <c r="M6" s="15">
        <v>1035</v>
      </c>
      <c r="N6" s="9">
        <f t="shared" ref="N6:N9" si="0">SUM(B6:M6)</f>
        <v>7806</v>
      </c>
    </row>
    <row r="7" spans="1:14">
      <c r="A7" s="33" t="s">
        <v>58</v>
      </c>
      <c r="B7" s="15">
        <v>4106</v>
      </c>
      <c r="C7" s="15">
        <v>4160</v>
      </c>
      <c r="D7" s="15">
        <v>2719</v>
      </c>
      <c r="E7" s="15">
        <v>1879</v>
      </c>
      <c r="F7" s="15">
        <v>1041</v>
      </c>
      <c r="G7" s="15">
        <v>1072</v>
      </c>
      <c r="H7" s="15">
        <v>1072</v>
      </c>
      <c r="I7" s="15">
        <v>1090</v>
      </c>
      <c r="J7" s="15">
        <v>2761</v>
      </c>
      <c r="K7" s="15">
        <v>2821</v>
      </c>
      <c r="L7" s="15">
        <v>4463</v>
      </c>
      <c r="M7" s="15">
        <v>3067</v>
      </c>
      <c r="N7" s="9">
        <f t="shared" si="0"/>
        <v>30251</v>
      </c>
    </row>
    <row r="8" spans="1:14">
      <c r="A8" s="81" t="s">
        <v>59</v>
      </c>
      <c r="B8" s="15">
        <v>0</v>
      </c>
      <c r="C8" s="15">
        <v>0</v>
      </c>
      <c r="D8" s="15">
        <v>0</v>
      </c>
      <c r="E8" s="15">
        <v>0</v>
      </c>
      <c r="F8" s="15">
        <v>0</v>
      </c>
      <c r="G8" s="15">
        <v>0</v>
      </c>
      <c r="H8" s="15">
        <v>0</v>
      </c>
      <c r="I8" s="15">
        <v>0</v>
      </c>
      <c r="J8" s="15">
        <v>0</v>
      </c>
      <c r="K8" s="15">
        <v>0</v>
      </c>
      <c r="L8" s="15">
        <v>0</v>
      </c>
      <c r="M8" s="15">
        <v>0</v>
      </c>
      <c r="N8" s="9">
        <f t="shared" si="0"/>
        <v>0</v>
      </c>
    </row>
    <row r="9" spans="1:14" ht="15.75" thickBot="1">
      <c r="A9" s="13" t="s">
        <v>9</v>
      </c>
      <c r="B9" s="16">
        <v>297</v>
      </c>
      <c r="C9" s="16">
        <v>241</v>
      </c>
      <c r="D9" s="16">
        <v>172</v>
      </c>
      <c r="E9" s="16">
        <v>154</v>
      </c>
      <c r="F9" s="16">
        <v>88</v>
      </c>
      <c r="G9" s="16">
        <v>88</v>
      </c>
      <c r="H9" s="16">
        <v>90</v>
      </c>
      <c r="I9" s="16">
        <v>179</v>
      </c>
      <c r="J9" s="16">
        <v>347</v>
      </c>
      <c r="K9" s="142"/>
      <c r="L9" s="16">
        <v>348</v>
      </c>
      <c r="M9" s="16">
        <v>489</v>
      </c>
      <c r="N9" s="10">
        <f t="shared" si="0"/>
        <v>2493</v>
      </c>
    </row>
    <row r="10" spans="1:14" ht="16.5" thickTop="1" thickBot="1">
      <c r="A10" s="61" t="s">
        <v>45</v>
      </c>
      <c r="B10" s="11">
        <f>SUM(B4:B9)</f>
        <v>1292265</v>
      </c>
      <c r="C10" s="11">
        <f t="shared" ref="C10:N10" si="1">SUM(C4:C9)</f>
        <v>1266841</v>
      </c>
      <c r="D10" s="11">
        <f t="shared" si="1"/>
        <v>964108</v>
      </c>
      <c r="E10" s="11">
        <f t="shared" si="1"/>
        <v>1075452</v>
      </c>
      <c r="F10" s="11">
        <f t="shared" si="1"/>
        <v>774988</v>
      </c>
      <c r="G10" s="11">
        <f t="shared" si="1"/>
        <v>893097</v>
      </c>
      <c r="H10" s="11">
        <f t="shared" si="1"/>
        <v>837178</v>
      </c>
      <c r="I10" s="11">
        <f t="shared" si="1"/>
        <v>663091</v>
      </c>
      <c r="J10" s="11">
        <f t="shared" si="1"/>
        <v>899891</v>
      </c>
      <c r="K10" s="11">
        <f t="shared" si="1"/>
        <v>586874</v>
      </c>
      <c r="L10" s="11">
        <f t="shared" si="1"/>
        <v>741673</v>
      </c>
      <c r="M10" s="11">
        <f t="shared" si="1"/>
        <v>854060</v>
      </c>
      <c r="N10" s="11">
        <f t="shared" si="1"/>
        <v>10849518</v>
      </c>
    </row>
    <row r="11" spans="1:14">
      <c r="A11" s="51"/>
      <c r="B11" s="52"/>
      <c r="C11" s="52"/>
      <c r="D11" s="52"/>
      <c r="E11" s="52"/>
      <c r="F11" s="52"/>
      <c r="G11" s="52"/>
      <c r="H11" s="52"/>
      <c r="I11" s="52"/>
      <c r="J11" s="52"/>
      <c r="K11" s="52"/>
      <c r="L11" s="52"/>
      <c r="M11" s="52"/>
      <c r="N11" s="53"/>
    </row>
    <row r="12" spans="1:14" ht="15.75" thickBot="1">
      <c r="A12" s="39" t="s">
        <v>8</v>
      </c>
      <c r="B12" s="165"/>
      <c r="C12" s="165"/>
      <c r="D12" s="165"/>
      <c r="E12" s="165"/>
      <c r="F12" s="165"/>
      <c r="G12" s="165"/>
      <c r="H12" s="165"/>
      <c r="I12" s="165"/>
      <c r="J12" s="165"/>
      <c r="K12" s="165"/>
      <c r="L12" s="165"/>
      <c r="M12" s="165"/>
      <c r="N12" s="166"/>
    </row>
    <row r="13" spans="1:14">
      <c r="A13" s="86" t="s">
        <v>97</v>
      </c>
      <c r="B13" s="105">
        <v>839</v>
      </c>
      <c r="C13" s="105">
        <v>853</v>
      </c>
      <c r="D13" s="105">
        <v>730</v>
      </c>
      <c r="E13" s="105">
        <v>880</v>
      </c>
      <c r="F13" s="105">
        <v>526</v>
      </c>
      <c r="G13" s="105">
        <v>568</v>
      </c>
      <c r="H13" s="105">
        <v>628</v>
      </c>
      <c r="I13" s="105">
        <v>609</v>
      </c>
      <c r="J13" s="105">
        <v>818</v>
      </c>
      <c r="K13" s="105">
        <v>731</v>
      </c>
      <c r="L13" s="105">
        <v>964</v>
      </c>
      <c r="M13" s="105">
        <v>986</v>
      </c>
      <c r="N13" s="106">
        <f>SUM(B13:M13)</f>
        <v>9132</v>
      </c>
    </row>
    <row r="14" spans="1:14">
      <c r="A14" s="3" t="s">
        <v>10</v>
      </c>
      <c r="B14" s="107">
        <v>3078</v>
      </c>
      <c r="C14" s="107">
        <v>3001</v>
      </c>
      <c r="D14" s="107">
        <v>2717</v>
      </c>
      <c r="E14" s="107">
        <v>2453</v>
      </c>
      <c r="F14" s="107">
        <v>2399</v>
      </c>
      <c r="G14" s="107">
        <v>2102</v>
      </c>
      <c r="H14" s="107">
        <v>1709</v>
      </c>
      <c r="I14" s="107">
        <v>1320</v>
      </c>
      <c r="J14" s="107">
        <v>600</v>
      </c>
      <c r="K14" s="107">
        <v>2960</v>
      </c>
      <c r="L14" s="107">
        <v>1497</v>
      </c>
      <c r="M14" s="107">
        <v>1449</v>
      </c>
      <c r="N14" s="108">
        <f t="shared" ref="N14:N20" si="2">SUM(B14:M14)</f>
        <v>25285</v>
      </c>
    </row>
    <row r="15" spans="1:14">
      <c r="A15" s="3" t="s">
        <v>11</v>
      </c>
      <c r="B15" s="107">
        <v>36720</v>
      </c>
      <c r="C15" s="107">
        <v>34560</v>
      </c>
      <c r="D15" s="107">
        <v>28080</v>
      </c>
      <c r="E15" s="107">
        <v>12840</v>
      </c>
      <c r="F15" s="107">
        <v>7200</v>
      </c>
      <c r="G15" s="107">
        <v>5880</v>
      </c>
      <c r="H15" s="107">
        <v>4440</v>
      </c>
      <c r="I15" s="107">
        <v>4320</v>
      </c>
      <c r="J15" s="107">
        <v>1614</v>
      </c>
      <c r="K15" s="107">
        <v>2986</v>
      </c>
      <c r="L15" s="107">
        <v>9000</v>
      </c>
      <c r="M15" s="107">
        <v>29880</v>
      </c>
      <c r="N15" s="108">
        <f t="shared" si="2"/>
        <v>177520</v>
      </c>
    </row>
    <row r="16" spans="1:14">
      <c r="A16" s="25" t="s">
        <v>98</v>
      </c>
      <c r="B16" s="107">
        <v>9480</v>
      </c>
      <c r="C16" s="107">
        <v>8680</v>
      </c>
      <c r="D16" s="107">
        <v>6680</v>
      </c>
      <c r="E16" s="107">
        <v>1640</v>
      </c>
      <c r="F16" s="107">
        <v>200</v>
      </c>
      <c r="G16" s="107">
        <v>40</v>
      </c>
      <c r="H16" s="107">
        <v>0</v>
      </c>
      <c r="I16" s="107">
        <v>0</v>
      </c>
      <c r="J16" s="107">
        <v>589</v>
      </c>
      <c r="K16" s="107">
        <v>580</v>
      </c>
      <c r="L16" s="107">
        <v>1200</v>
      </c>
      <c r="M16" s="107">
        <v>14360</v>
      </c>
      <c r="N16" s="108">
        <f t="shared" si="2"/>
        <v>43449</v>
      </c>
    </row>
    <row r="17" spans="1:14">
      <c r="A17" s="25" t="s">
        <v>85</v>
      </c>
      <c r="B17" s="107">
        <v>5600</v>
      </c>
      <c r="C17" s="107">
        <v>4914</v>
      </c>
      <c r="D17" s="107">
        <v>4524</v>
      </c>
      <c r="E17" s="107">
        <v>2725</v>
      </c>
      <c r="F17" s="107">
        <v>2232</v>
      </c>
      <c r="G17" s="107">
        <v>1922</v>
      </c>
      <c r="H17" s="107">
        <v>1873</v>
      </c>
      <c r="I17" s="107">
        <v>2217</v>
      </c>
      <c r="J17" s="107">
        <v>1362</v>
      </c>
      <c r="K17" s="107">
        <v>1290</v>
      </c>
      <c r="L17" s="107">
        <v>4941</v>
      </c>
      <c r="M17" s="107">
        <v>1372</v>
      </c>
      <c r="N17" s="108">
        <f t="shared" si="2"/>
        <v>34972</v>
      </c>
    </row>
    <row r="18" spans="1:14">
      <c r="A18" s="25" t="s">
        <v>99</v>
      </c>
      <c r="B18" s="107">
        <v>3075</v>
      </c>
      <c r="C18" s="107">
        <v>2414</v>
      </c>
      <c r="D18" s="107">
        <v>2643</v>
      </c>
      <c r="E18" s="107">
        <v>1332</v>
      </c>
      <c r="F18" s="107">
        <v>467</v>
      </c>
      <c r="G18" s="107">
        <v>493</v>
      </c>
      <c r="H18" s="107">
        <v>279</v>
      </c>
      <c r="I18" s="107">
        <v>636</v>
      </c>
      <c r="J18" s="107">
        <v>4920</v>
      </c>
      <c r="K18" s="107">
        <v>7680</v>
      </c>
      <c r="L18" s="107">
        <v>600</v>
      </c>
      <c r="M18" s="107">
        <v>548</v>
      </c>
      <c r="N18" s="108">
        <f t="shared" si="2"/>
        <v>25087</v>
      </c>
    </row>
    <row r="19" spans="1:14" ht="15.75" thickBot="1">
      <c r="A19" s="25" t="s">
        <v>100</v>
      </c>
      <c r="B19" s="156">
        <v>141600</v>
      </c>
      <c r="C19" s="156">
        <v>132000</v>
      </c>
      <c r="D19" s="156">
        <v>112000</v>
      </c>
      <c r="E19" s="156">
        <v>53600</v>
      </c>
      <c r="F19" s="156">
        <v>30400</v>
      </c>
      <c r="G19" s="156">
        <v>22400</v>
      </c>
      <c r="H19" s="156">
        <v>16800</v>
      </c>
      <c r="I19" s="156">
        <v>20000</v>
      </c>
      <c r="J19" s="156">
        <v>27200</v>
      </c>
      <c r="K19" s="156">
        <v>48800</v>
      </c>
      <c r="L19" s="156">
        <v>64800</v>
      </c>
      <c r="M19" s="156">
        <v>145600</v>
      </c>
      <c r="N19" s="167">
        <f t="shared" si="2"/>
        <v>815200</v>
      </c>
    </row>
    <row r="20" spans="1:14" ht="16.5" thickTop="1" thickBot="1">
      <c r="A20" s="61" t="s">
        <v>46</v>
      </c>
      <c r="B20" s="69">
        <f>SUM(B13:B19)</f>
        <v>200392</v>
      </c>
      <c r="C20" s="69">
        <f t="shared" ref="C20:M20" si="3">SUM(C13:C19)</f>
        <v>186422</v>
      </c>
      <c r="D20" s="69">
        <f t="shared" si="3"/>
        <v>157374</v>
      </c>
      <c r="E20" s="69">
        <f t="shared" si="3"/>
        <v>75470</v>
      </c>
      <c r="F20" s="69">
        <f t="shared" si="3"/>
        <v>43424</v>
      </c>
      <c r="G20" s="69">
        <f t="shared" si="3"/>
        <v>33405</v>
      </c>
      <c r="H20" s="69">
        <f t="shared" si="3"/>
        <v>25729</v>
      </c>
      <c r="I20" s="69">
        <f t="shared" si="3"/>
        <v>29102</v>
      </c>
      <c r="J20" s="69">
        <f t="shared" si="3"/>
        <v>37103</v>
      </c>
      <c r="K20" s="69">
        <f t="shared" si="3"/>
        <v>65027</v>
      </c>
      <c r="L20" s="69">
        <f t="shared" si="3"/>
        <v>83002</v>
      </c>
      <c r="M20" s="69">
        <f t="shared" si="3"/>
        <v>194195</v>
      </c>
      <c r="N20" s="55">
        <f t="shared" si="2"/>
        <v>1130645</v>
      </c>
    </row>
    <row r="21" spans="1:14" ht="15.75" thickBot="1">
      <c r="A21" s="39"/>
      <c r="B21" s="159"/>
      <c r="C21" s="159"/>
      <c r="D21" s="165"/>
      <c r="E21" s="165"/>
      <c r="F21" s="165"/>
      <c r="G21" s="165"/>
      <c r="H21" s="165"/>
      <c r="I21" s="165"/>
      <c r="J21" s="165"/>
      <c r="K21" s="165"/>
      <c r="L21" s="165"/>
      <c r="M21" s="165"/>
      <c r="N21" s="168"/>
    </row>
    <row r="22" spans="1:14">
      <c r="A22" s="40" t="s">
        <v>16</v>
      </c>
      <c r="B22" s="41">
        <f t="shared" ref="B22:N22" si="4">B10+B20</f>
        <v>1492657</v>
      </c>
      <c r="C22" s="41">
        <f t="shared" si="4"/>
        <v>1453263</v>
      </c>
      <c r="D22" s="41">
        <f t="shared" si="4"/>
        <v>1121482</v>
      </c>
      <c r="E22" s="41">
        <f t="shared" si="4"/>
        <v>1150922</v>
      </c>
      <c r="F22" s="41">
        <f t="shared" si="4"/>
        <v>818412</v>
      </c>
      <c r="G22" s="41">
        <f t="shared" si="4"/>
        <v>926502</v>
      </c>
      <c r="H22" s="41">
        <f t="shared" si="4"/>
        <v>862907</v>
      </c>
      <c r="I22" s="41">
        <f t="shared" si="4"/>
        <v>692193</v>
      </c>
      <c r="J22" s="41">
        <f t="shared" si="4"/>
        <v>936994</v>
      </c>
      <c r="K22" s="41">
        <f t="shared" si="4"/>
        <v>651901</v>
      </c>
      <c r="L22" s="41">
        <f t="shared" si="4"/>
        <v>824675</v>
      </c>
      <c r="M22" s="41">
        <f t="shared" si="4"/>
        <v>1048255</v>
      </c>
      <c r="N22" s="42">
        <f t="shared" si="4"/>
        <v>11980163</v>
      </c>
    </row>
    <row r="23" spans="1:14">
      <c r="A23" s="43" t="s">
        <v>17</v>
      </c>
      <c r="B23" s="162">
        <v>242002</v>
      </c>
      <c r="C23" s="162">
        <v>280445</v>
      </c>
      <c r="D23" s="162">
        <v>768190</v>
      </c>
      <c r="E23" s="162">
        <v>387477</v>
      </c>
      <c r="F23" s="162">
        <v>491656</v>
      </c>
      <c r="G23" s="162">
        <v>629310</v>
      </c>
      <c r="H23" s="162">
        <v>669415</v>
      </c>
      <c r="I23" s="162">
        <v>1085364</v>
      </c>
      <c r="J23" s="162">
        <v>451634</v>
      </c>
      <c r="K23" s="162">
        <v>871955</v>
      </c>
      <c r="L23" s="162">
        <v>733730</v>
      </c>
      <c r="M23" s="162">
        <v>1103446</v>
      </c>
      <c r="N23" s="163">
        <f>SUM(B23:M23)</f>
        <v>7714624</v>
      </c>
    </row>
    <row r="24" spans="1:14" ht="15.75" thickBot="1">
      <c r="A24" s="44" t="s">
        <v>18</v>
      </c>
      <c r="B24" s="164">
        <f>B22+B23</f>
        <v>1734659</v>
      </c>
      <c r="C24" s="164">
        <f t="shared" ref="C24:N24" si="5">C22+C23</f>
        <v>1733708</v>
      </c>
      <c r="D24" s="164">
        <f t="shared" si="5"/>
        <v>1889672</v>
      </c>
      <c r="E24" s="164">
        <f t="shared" si="5"/>
        <v>1538399</v>
      </c>
      <c r="F24" s="164">
        <f t="shared" si="5"/>
        <v>1310068</v>
      </c>
      <c r="G24" s="164">
        <f t="shared" si="5"/>
        <v>1555812</v>
      </c>
      <c r="H24" s="164">
        <f t="shared" si="5"/>
        <v>1532322</v>
      </c>
      <c r="I24" s="164">
        <f t="shared" si="5"/>
        <v>1777557</v>
      </c>
      <c r="J24" s="164">
        <f t="shared" si="5"/>
        <v>1388628</v>
      </c>
      <c r="K24" s="164">
        <f t="shared" si="5"/>
        <v>1523856</v>
      </c>
      <c r="L24" s="164">
        <f t="shared" si="5"/>
        <v>1558405</v>
      </c>
      <c r="M24" s="164">
        <f t="shared" si="5"/>
        <v>2151701</v>
      </c>
      <c r="N24" s="169">
        <f t="shared" si="5"/>
        <v>19694787</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N39"/>
  <sheetViews>
    <sheetView showGridLines="0" topLeftCell="A19" workbookViewId="0">
      <selection activeCell="N1" sqref="N1"/>
    </sheetView>
  </sheetViews>
  <sheetFormatPr defaultColWidth="8.85546875" defaultRowHeight="15"/>
  <cols>
    <col min="1" max="1" width="23.85546875" style="17" customWidth="1"/>
    <col min="2" max="13" width="9.28515625" style="17" bestFit="1" customWidth="1"/>
    <col min="14" max="14" width="10" style="17" bestFit="1" customWidth="1"/>
    <col min="15" max="16384" width="8.85546875" style="17"/>
  </cols>
  <sheetData>
    <row r="1" spans="1:14" ht="17.25" thickBot="1">
      <c r="A1" s="116" t="s">
        <v>0</v>
      </c>
      <c r="B1" s="117">
        <v>40909</v>
      </c>
      <c r="C1" s="117">
        <v>40940</v>
      </c>
      <c r="D1" s="117">
        <v>40969</v>
      </c>
      <c r="E1" s="117">
        <v>41000</v>
      </c>
      <c r="F1" s="117">
        <v>41030</v>
      </c>
      <c r="G1" s="117">
        <v>41061</v>
      </c>
      <c r="H1" s="117">
        <v>41091</v>
      </c>
      <c r="I1" s="117">
        <v>41122</v>
      </c>
      <c r="J1" s="117">
        <v>41153</v>
      </c>
      <c r="K1" s="117">
        <v>41183</v>
      </c>
      <c r="L1" s="117">
        <v>41214</v>
      </c>
      <c r="M1" s="117">
        <v>41244</v>
      </c>
      <c r="N1" s="118"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c r="A4" s="138" t="s">
        <v>24</v>
      </c>
      <c r="B4" s="105">
        <v>834</v>
      </c>
      <c r="C4" s="105">
        <v>710</v>
      </c>
      <c r="D4" s="105">
        <v>596</v>
      </c>
      <c r="E4" s="105">
        <v>712</v>
      </c>
      <c r="F4" s="105">
        <v>1007</v>
      </c>
      <c r="G4" s="105">
        <v>1151</v>
      </c>
      <c r="H4" s="105">
        <v>793</v>
      </c>
      <c r="I4" s="105">
        <v>1862</v>
      </c>
      <c r="J4" s="105">
        <v>758</v>
      </c>
      <c r="K4" s="105">
        <v>808</v>
      </c>
      <c r="L4" s="105">
        <v>971</v>
      </c>
      <c r="M4" s="105">
        <v>0</v>
      </c>
      <c r="N4" s="176">
        <f>SUM(B4:M4)</f>
        <v>10202</v>
      </c>
    </row>
    <row r="5" spans="1:14">
      <c r="A5" s="139" t="s">
        <v>27</v>
      </c>
      <c r="B5" s="107">
        <v>116</v>
      </c>
      <c r="C5" s="107">
        <v>119</v>
      </c>
      <c r="D5" s="107">
        <v>118</v>
      </c>
      <c r="E5" s="107">
        <v>121</v>
      </c>
      <c r="F5" s="107">
        <v>102</v>
      </c>
      <c r="G5" s="107">
        <v>111</v>
      </c>
      <c r="H5" s="107">
        <v>131</v>
      </c>
      <c r="I5" s="107">
        <v>106</v>
      </c>
      <c r="J5" s="107">
        <v>96</v>
      </c>
      <c r="K5" s="107">
        <v>105</v>
      </c>
      <c r="L5" s="107">
        <v>126</v>
      </c>
      <c r="M5" s="107">
        <v>82</v>
      </c>
      <c r="N5" s="177">
        <f t="shared" ref="N5:N23" si="0">SUM(B5:M5)</f>
        <v>1333</v>
      </c>
    </row>
    <row r="6" spans="1:14">
      <c r="A6" s="139" t="s">
        <v>115</v>
      </c>
      <c r="B6" s="107">
        <v>1961</v>
      </c>
      <c r="C6" s="107">
        <v>2045</v>
      </c>
      <c r="D6" s="107">
        <v>1897</v>
      </c>
      <c r="E6" s="107">
        <v>2106</v>
      </c>
      <c r="F6" s="107">
        <v>2472</v>
      </c>
      <c r="G6" s="107">
        <v>2696</v>
      </c>
      <c r="H6" s="107">
        <v>2447</v>
      </c>
      <c r="I6" s="107">
        <v>2292</v>
      </c>
      <c r="J6" s="107">
        <v>1934</v>
      </c>
      <c r="K6" s="107">
        <v>1749</v>
      </c>
      <c r="L6" s="107">
        <v>1826</v>
      </c>
      <c r="M6" s="107">
        <v>1667</v>
      </c>
      <c r="N6" s="177">
        <f t="shared" si="0"/>
        <v>25092</v>
      </c>
    </row>
    <row r="7" spans="1:14" ht="30">
      <c r="A7" s="139" t="s">
        <v>116</v>
      </c>
      <c r="B7" s="107">
        <v>38</v>
      </c>
      <c r="C7" s="107">
        <v>38</v>
      </c>
      <c r="D7" s="107">
        <v>46</v>
      </c>
      <c r="E7" s="107">
        <v>28</v>
      </c>
      <c r="F7" s="107">
        <v>74</v>
      </c>
      <c r="G7" s="107">
        <v>79</v>
      </c>
      <c r="H7" s="107">
        <v>98</v>
      </c>
      <c r="I7" s="107">
        <v>47</v>
      </c>
      <c r="J7" s="107">
        <v>35</v>
      </c>
      <c r="K7" s="107">
        <v>4</v>
      </c>
      <c r="L7" s="107">
        <v>12</v>
      </c>
      <c r="M7" s="107">
        <v>6</v>
      </c>
      <c r="N7" s="177">
        <f t="shared" si="0"/>
        <v>505</v>
      </c>
    </row>
    <row r="8" spans="1:14">
      <c r="A8" s="139" t="s">
        <v>28</v>
      </c>
      <c r="B8" s="107">
        <v>427</v>
      </c>
      <c r="C8" s="107">
        <v>450</v>
      </c>
      <c r="D8" s="107">
        <v>495</v>
      </c>
      <c r="E8" s="107">
        <v>450</v>
      </c>
      <c r="F8" s="107">
        <v>290</v>
      </c>
      <c r="G8" s="107">
        <v>284</v>
      </c>
      <c r="H8" s="107">
        <v>284</v>
      </c>
      <c r="I8" s="107">
        <v>230</v>
      </c>
      <c r="J8" s="107">
        <v>346</v>
      </c>
      <c r="K8" s="107">
        <v>428</v>
      </c>
      <c r="L8" s="107">
        <v>511</v>
      </c>
      <c r="M8" s="107">
        <v>286</v>
      </c>
      <c r="N8" s="177">
        <f>SUM(B8:M8)</f>
        <v>4481</v>
      </c>
    </row>
    <row r="9" spans="1:14">
      <c r="A9" s="139" t="s">
        <v>81</v>
      </c>
      <c r="B9" s="107">
        <v>1006</v>
      </c>
      <c r="C9" s="107">
        <v>1044</v>
      </c>
      <c r="D9" s="107">
        <v>1066</v>
      </c>
      <c r="E9" s="107">
        <v>870</v>
      </c>
      <c r="F9" s="107">
        <v>1179</v>
      </c>
      <c r="G9" s="107">
        <v>1621</v>
      </c>
      <c r="H9" s="107">
        <v>1901</v>
      </c>
      <c r="I9" s="107">
        <v>2551</v>
      </c>
      <c r="J9" s="107">
        <v>2326</v>
      </c>
      <c r="K9" s="107">
        <v>1037</v>
      </c>
      <c r="L9" s="107">
        <v>1147</v>
      </c>
      <c r="M9" s="107">
        <v>594</v>
      </c>
      <c r="N9" s="177">
        <f>SUM(B9:M9)</f>
        <v>16342</v>
      </c>
    </row>
    <row r="10" spans="1:14" ht="30">
      <c r="A10" s="139" t="s">
        <v>117</v>
      </c>
      <c r="B10" s="107">
        <v>300</v>
      </c>
      <c r="C10" s="107">
        <v>296</v>
      </c>
      <c r="D10" s="107">
        <v>360</v>
      </c>
      <c r="E10" s="107">
        <v>235</v>
      </c>
      <c r="F10" s="107">
        <v>37</v>
      </c>
      <c r="G10" s="107">
        <v>48</v>
      </c>
      <c r="H10" s="107">
        <v>62</v>
      </c>
      <c r="I10" s="107">
        <v>124</v>
      </c>
      <c r="J10" s="107">
        <v>406</v>
      </c>
      <c r="K10" s="107">
        <v>302</v>
      </c>
      <c r="L10" s="107">
        <v>424</v>
      </c>
      <c r="M10" s="107">
        <v>180</v>
      </c>
      <c r="N10" s="177">
        <f>SUM(B10:M10)</f>
        <v>2774</v>
      </c>
    </row>
    <row r="11" spans="1:14">
      <c r="A11" s="139" t="s">
        <v>33</v>
      </c>
      <c r="B11" s="107" t="s">
        <v>104</v>
      </c>
      <c r="C11" s="107" t="s">
        <v>104</v>
      </c>
      <c r="D11" s="107" t="s">
        <v>104</v>
      </c>
      <c r="E11" s="107" t="s">
        <v>104</v>
      </c>
      <c r="F11" s="107" t="s">
        <v>104</v>
      </c>
      <c r="G11" s="107" t="s">
        <v>104</v>
      </c>
      <c r="H11" s="107" t="s">
        <v>104</v>
      </c>
      <c r="I11" s="107" t="s">
        <v>104</v>
      </c>
      <c r="J11" s="107" t="s">
        <v>104</v>
      </c>
      <c r="K11" s="107" t="s">
        <v>104</v>
      </c>
      <c r="L11" s="107" t="s">
        <v>104</v>
      </c>
      <c r="M11" s="107" t="s">
        <v>104</v>
      </c>
      <c r="N11" s="177" t="s">
        <v>42</v>
      </c>
    </row>
    <row r="12" spans="1:14">
      <c r="A12" s="139" t="s">
        <v>76</v>
      </c>
      <c r="B12" s="107">
        <v>656</v>
      </c>
      <c r="C12" s="107">
        <v>587</v>
      </c>
      <c r="D12" s="107">
        <v>736</v>
      </c>
      <c r="E12" s="107">
        <v>475</v>
      </c>
      <c r="F12" s="107">
        <v>438</v>
      </c>
      <c r="G12" s="107">
        <v>702</v>
      </c>
      <c r="H12" s="107">
        <v>885</v>
      </c>
      <c r="I12" s="107">
        <v>872</v>
      </c>
      <c r="J12" s="107">
        <v>876</v>
      </c>
      <c r="K12" s="107">
        <v>475</v>
      </c>
      <c r="L12" s="107">
        <v>601</v>
      </c>
      <c r="M12" s="107">
        <v>272</v>
      </c>
      <c r="N12" s="177">
        <f>SUM(B12:M12)</f>
        <v>7575</v>
      </c>
    </row>
    <row r="13" spans="1:14">
      <c r="A13" s="139" t="s">
        <v>29</v>
      </c>
      <c r="B13" s="107">
        <v>469</v>
      </c>
      <c r="C13" s="107">
        <v>465</v>
      </c>
      <c r="D13" s="107">
        <v>509</v>
      </c>
      <c r="E13" s="107">
        <v>440</v>
      </c>
      <c r="F13" s="107">
        <v>529</v>
      </c>
      <c r="G13" s="107">
        <v>563</v>
      </c>
      <c r="H13" s="107">
        <v>648</v>
      </c>
      <c r="I13" s="107">
        <v>638</v>
      </c>
      <c r="J13" s="107">
        <v>746</v>
      </c>
      <c r="K13" s="107">
        <v>525</v>
      </c>
      <c r="L13" s="107">
        <v>587</v>
      </c>
      <c r="M13" s="107">
        <v>328</v>
      </c>
      <c r="N13" s="177">
        <f t="shared" si="0"/>
        <v>6447</v>
      </c>
    </row>
    <row r="14" spans="1:14">
      <c r="A14" s="3" t="s">
        <v>34</v>
      </c>
      <c r="B14" s="107" t="s">
        <v>104</v>
      </c>
      <c r="C14" s="107" t="s">
        <v>104</v>
      </c>
      <c r="D14" s="107" t="s">
        <v>104</v>
      </c>
      <c r="E14" s="107" t="s">
        <v>104</v>
      </c>
      <c r="F14" s="107" t="s">
        <v>104</v>
      </c>
      <c r="G14" s="107" t="s">
        <v>104</v>
      </c>
      <c r="H14" s="107" t="s">
        <v>104</v>
      </c>
      <c r="I14" s="107" t="s">
        <v>104</v>
      </c>
      <c r="J14" s="107" t="s">
        <v>104</v>
      </c>
      <c r="K14" s="107" t="s">
        <v>104</v>
      </c>
      <c r="L14" s="107" t="s">
        <v>104</v>
      </c>
      <c r="M14" s="107" t="s">
        <v>104</v>
      </c>
      <c r="N14" s="177" t="s">
        <v>42</v>
      </c>
    </row>
    <row r="15" spans="1:14">
      <c r="A15" s="139" t="s">
        <v>119</v>
      </c>
      <c r="B15" s="107">
        <v>2</v>
      </c>
      <c r="C15" s="107">
        <v>1</v>
      </c>
      <c r="D15" s="107">
        <v>2</v>
      </c>
      <c r="E15" s="107">
        <v>1</v>
      </c>
      <c r="F15" s="107">
        <v>1</v>
      </c>
      <c r="G15" s="107">
        <v>3</v>
      </c>
      <c r="H15" s="107">
        <v>7</v>
      </c>
      <c r="I15" s="107">
        <v>1</v>
      </c>
      <c r="J15" s="107">
        <v>9</v>
      </c>
      <c r="K15" s="107">
        <v>1</v>
      </c>
      <c r="L15" s="107">
        <v>1</v>
      </c>
      <c r="M15" s="107">
        <v>1</v>
      </c>
      <c r="N15" s="177">
        <f t="shared" si="0"/>
        <v>30</v>
      </c>
    </row>
    <row r="16" spans="1:14">
      <c r="A16" s="139" t="s">
        <v>2</v>
      </c>
      <c r="B16" s="107">
        <v>156</v>
      </c>
      <c r="C16" s="107">
        <v>149</v>
      </c>
      <c r="D16" s="107">
        <v>155</v>
      </c>
      <c r="E16" s="107">
        <v>167</v>
      </c>
      <c r="F16" s="107">
        <v>132</v>
      </c>
      <c r="G16" s="107">
        <v>132</v>
      </c>
      <c r="H16" s="107">
        <v>143</v>
      </c>
      <c r="I16" s="107">
        <v>129</v>
      </c>
      <c r="J16" s="107">
        <v>140</v>
      </c>
      <c r="K16" s="107">
        <v>111</v>
      </c>
      <c r="L16" s="107">
        <v>128</v>
      </c>
      <c r="M16" s="107">
        <v>77</v>
      </c>
      <c r="N16" s="177">
        <f t="shared" si="0"/>
        <v>1619</v>
      </c>
    </row>
    <row r="17" spans="1:14">
      <c r="A17" s="139" t="s">
        <v>30</v>
      </c>
      <c r="B17" s="107">
        <v>0</v>
      </c>
      <c r="C17" s="107">
        <v>0</v>
      </c>
      <c r="D17" s="107">
        <v>0</v>
      </c>
      <c r="E17" s="107">
        <v>0</v>
      </c>
      <c r="F17" s="107">
        <v>0</v>
      </c>
      <c r="G17" s="107">
        <v>42</v>
      </c>
      <c r="H17" s="107">
        <v>106</v>
      </c>
      <c r="I17" s="107">
        <v>191</v>
      </c>
      <c r="J17" s="107">
        <v>0</v>
      </c>
      <c r="K17" s="107">
        <v>0</v>
      </c>
      <c r="L17" s="107">
        <v>0</v>
      </c>
      <c r="M17" s="107">
        <v>0</v>
      </c>
      <c r="N17" s="177">
        <f t="shared" si="0"/>
        <v>339</v>
      </c>
    </row>
    <row r="18" spans="1:14">
      <c r="A18" s="139" t="s">
        <v>120</v>
      </c>
      <c r="B18" s="107">
        <v>731</v>
      </c>
      <c r="C18" s="107">
        <v>602</v>
      </c>
      <c r="D18" s="107">
        <v>553</v>
      </c>
      <c r="E18" s="107">
        <v>445</v>
      </c>
      <c r="F18" s="107">
        <v>386</v>
      </c>
      <c r="G18" s="107">
        <v>476</v>
      </c>
      <c r="H18" s="107">
        <v>436</v>
      </c>
      <c r="I18" s="107">
        <v>569</v>
      </c>
      <c r="J18" s="107">
        <v>734</v>
      </c>
      <c r="K18" s="107">
        <v>586</v>
      </c>
      <c r="L18" s="107">
        <v>693</v>
      </c>
      <c r="M18" s="107">
        <v>428</v>
      </c>
      <c r="N18" s="177">
        <f t="shared" si="0"/>
        <v>6639</v>
      </c>
    </row>
    <row r="19" spans="1:14" ht="30">
      <c r="A19" s="139" t="s">
        <v>122</v>
      </c>
      <c r="B19" s="107">
        <v>834</v>
      </c>
      <c r="C19" s="107">
        <v>692</v>
      </c>
      <c r="D19" s="107">
        <v>804</v>
      </c>
      <c r="E19" s="107">
        <v>536</v>
      </c>
      <c r="F19" s="107">
        <v>162</v>
      </c>
      <c r="G19" s="107">
        <v>150</v>
      </c>
      <c r="H19" s="107">
        <v>249</v>
      </c>
      <c r="I19" s="107">
        <v>308</v>
      </c>
      <c r="J19" s="107">
        <v>919</v>
      </c>
      <c r="K19" s="107">
        <v>686</v>
      </c>
      <c r="L19" s="107">
        <v>954</v>
      </c>
      <c r="M19" s="107">
        <v>503</v>
      </c>
      <c r="N19" s="177">
        <f t="shared" si="0"/>
        <v>6797</v>
      </c>
    </row>
    <row r="20" spans="1:14" ht="30">
      <c r="A20" s="139" t="s">
        <v>121</v>
      </c>
      <c r="B20" s="107">
        <v>783</v>
      </c>
      <c r="C20" s="107">
        <v>689</v>
      </c>
      <c r="D20" s="107">
        <v>825</v>
      </c>
      <c r="E20" s="107">
        <v>548</v>
      </c>
      <c r="F20" s="107">
        <v>82</v>
      </c>
      <c r="G20" s="107">
        <v>58</v>
      </c>
      <c r="H20" s="107">
        <v>108</v>
      </c>
      <c r="I20" s="107">
        <v>182</v>
      </c>
      <c r="J20" s="107">
        <v>755</v>
      </c>
      <c r="K20" s="107">
        <v>543</v>
      </c>
      <c r="L20" s="107">
        <v>867</v>
      </c>
      <c r="M20" s="107">
        <v>404</v>
      </c>
      <c r="N20" s="177">
        <f t="shared" si="0"/>
        <v>5844</v>
      </c>
    </row>
    <row r="21" spans="1:14">
      <c r="A21" s="139" t="s">
        <v>31</v>
      </c>
      <c r="B21" s="107">
        <v>244</v>
      </c>
      <c r="C21" s="107">
        <v>216</v>
      </c>
      <c r="D21" s="107">
        <v>331</v>
      </c>
      <c r="E21" s="107">
        <v>179</v>
      </c>
      <c r="F21" s="107">
        <v>44</v>
      </c>
      <c r="G21" s="107">
        <v>111</v>
      </c>
      <c r="H21" s="107">
        <v>237</v>
      </c>
      <c r="I21" s="107">
        <v>252</v>
      </c>
      <c r="J21" s="107">
        <v>722</v>
      </c>
      <c r="K21" s="107">
        <v>513</v>
      </c>
      <c r="L21" s="107">
        <v>695</v>
      </c>
      <c r="M21" s="107">
        <v>427</v>
      </c>
      <c r="N21" s="177">
        <f t="shared" si="0"/>
        <v>3971</v>
      </c>
    </row>
    <row r="22" spans="1:14">
      <c r="A22" s="139" t="s">
        <v>123</v>
      </c>
      <c r="B22" s="107">
        <v>153</v>
      </c>
      <c r="C22" s="107">
        <v>283</v>
      </c>
      <c r="D22" s="107">
        <v>173</v>
      </c>
      <c r="E22" s="107">
        <v>175</v>
      </c>
      <c r="F22" s="107">
        <v>192</v>
      </c>
      <c r="G22" s="107">
        <v>163</v>
      </c>
      <c r="H22" s="107">
        <v>196</v>
      </c>
      <c r="I22" s="107">
        <v>176</v>
      </c>
      <c r="J22" s="107">
        <v>232</v>
      </c>
      <c r="K22" s="107">
        <v>312</v>
      </c>
      <c r="L22" s="107">
        <v>283</v>
      </c>
      <c r="M22" s="107">
        <v>156</v>
      </c>
      <c r="N22" s="177">
        <f t="shared" si="0"/>
        <v>2494</v>
      </c>
    </row>
    <row r="23" spans="1:14" ht="15.75" thickBot="1">
      <c r="A23" s="139" t="s">
        <v>23</v>
      </c>
      <c r="B23" s="156">
        <v>149</v>
      </c>
      <c r="C23" s="156">
        <v>173</v>
      </c>
      <c r="D23" s="156">
        <v>196</v>
      </c>
      <c r="E23" s="156">
        <v>140</v>
      </c>
      <c r="F23" s="156">
        <v>140</v>
      </c>
      <c r="G23" s="156">
        <v>160</v>
      </c>
      <c r="H23" s="156">
        <v>177</v>
      </c>
      <c r="I23" s="156">
        <v>172</v>
      </c>
      <c r="J23" s="156">
        <v>187</v>
      </c>
      <c r="K23" s="156">
        <v>194</v>
      </c>
      <c r="L23" s="156">
        <v>215</v>
      </c>
      <c r="M23" s="156">
        <v>128</v>
      </c>
      <c r="N23" s="180">
        <f t="shared" si="0"/>
        <v>2031</v>
      </c>
    </row>
    <row r="24" spans="1:14" ht="15.75" customHeight="1" thickTop="1" thickBot="1">
      <c r="A24" s="140" t="s">
        <v>45</v>
      </c>
      <c r="B24" s="248">
        <f t="shared" ref="B24:N24" si="1">SUM(B4:B23)</f>
        <v>8859</v>
      </c>
      <c r="C24" s="248">
        <f t="shared" si="1"/>
        <v>8559</v>
      </c>
      <c r="D24" s="248">
        <f t="shared" si="1"/>
        <v>8862</v>
      </c>
      <c r="E24" s="248">
        <f t="shared" si="1"/>
        <v>7628</v>
      </c>
      <c r="F24" s="248">
        <f t="shared" si="1"/>
        <v>7267</v>
      </c>
      <c r="G24" s="248">
        <f t="shared" si="1"/>
        <v>8550</v>
      </c>
      <c r="H24" s="248">
        <f t="shared" si="1"/>
        <v>8908</v>
      </c>
      <c r="I24" s="248">
        <f t="shared" si="1"/>
        <v>10702</v>
      </c>
      <c r="J24" s="248">
        <f t="shared" si="1"/>
        <v>11221</v>
      </c>
      <c r="K24" s="248">
        <f t="shared" si="1"/>
        <v>8379</v>
      </c>
      <c r="L24" s="248">
        <f t="shared" si="1"/>
        <v>10041</v>
      </c>
      <c r="M24" s="248">
        <f t="shared" si="1"/>
        <v>5539</v>
      </c>
      <c r="N24" s="249">
        <f t="shared" si="1"/>
        <v>104515</v>
      </c>
    </row>
    <row r="25" spans="1:14">
      <c r="A25" s="6"/>
      <c r="B25" s="182"/>
      <c r="C25" s="182"/>
      <c r="D25" s="182"/>
      <c r="E25" s="182"/>
      <c r="F25" s="182"/>
      <c r="G25" s="182"/>
      <c r="H25" s="182"/>
      <c r="I25" s="182"/>
      <c r="J25" s="182"/>
      <c r="K25" s="182"/>
      <c r="L25" s="182"/>
      <c r="M25" s="182"/>
      <c r="N25" s="182"/>
    </row>
    <row r="26" spans="1:14" ht="15.75" thickBot="1">
      <c r="A26" s="6" t="s">
        <v>8</v>
      </c>
      <c r="B26" s="182"/>
      <c r="C26" s="182"/>
      <c r="D26" s="182"/>
      <c r="E26" s="182"/>
      <c r="F26" s="182"/>
      <c r="G26" s="182"/>
      <c r="H26" s="182"/>
      <c r="I26" s="182"/>
      <c r="J26" s="182"/>
      <c r="K26" s="182"/>
      <c r="L26" s="182"/>
      <c r="M26" s="182"/>
      <c r="N26" s="182"/>
    </row>
    <row r="27" spans="1:14">
      <c r="A27" s="136" t="s">
        <v>105</v>
      </c>
      <c r="B27" s="105">
        <v>62</v>
      </c>
      <c r="C27" s="105">
        <v>99</v>
      </c>
      <c r="D27" s="105">
        <v>80</v>
      </c>
      <c r="E27" s="105">
        <v>54</v>
      </c>
      <c r="F27" s="105">
        <v>52</v>
      </c>
      <c r="G27" s="105">
        <v>45</v>
      </c>
      <c r="H27" s="105">
        <v>37</v>
      </c>
      <c r="I27" s="105">
        <v>51</v>
      </c>
      <c r="J27" s="105">
        <v>4</v>
      </c>
      <c r="K27" s="105">
        <v>4</v>
      </c>
      <c r="L27" s="105">
        <v>3</v>
      </c>
      <c r="M27" s="105">
        <v>3</v>
      </c>
      <c r="N27" s="176">
        <f>SUM(B27:M27)</f>
        <v>494</v>
      </c>
    </row>
    <row r="28" spans="1:14">
      <c r="A28" s="13" t="s">
        <v>85</v>
      </c>
      <c r="B28" s="107">
        <v>38</v>
      </c>
      <c r="C28" s="107">
        <v>57</v>
      </c>
      <c r="D28" s="107">
        <v>60</v>
      </c>
      <c r="E28" s="107">
        <v>133</v>
      </c>
      <c r="F28" s="107">
        <v>74</v>
      </c>
      <c r="G28" s="107">
        <v>28</v>
      </c>
      <c r="H28" s="107">
        <v>12</v>
      </c>
      <c r="I28" s="107">
        <v>4</v>
      </c>
      <c r="J28" s="107">
        <v>5</v>
      </c>
      <c r="K28" s="107">
        <v>8</v>
      </c>
      <c r="L28" s="107">
        <v>5</v>
      </c>
      <c r="M28" s="107">
        <v>6</v>
      </c>
      <c r="N28" s="177">
        <f>SUM(B28:M28)</f>
        <v>430</v>
      </c>
    </row>
    <row r="29" spans="1:14">
      <c r="A29" s="13" t="s">
        <v>106</v>
      </c>
      <c r="B29" s="107">
        <v>2</v>
      </c>
      <c r="C29" s="107">
        <v>2</v>
      </c>
      <c r="D29" s="107">
        <v>4</v>
      </c>
      <c r="E29" s="107">
        <v>2</v>
      </c>
      <c r="F29" s="107">
        <v>3</v>
      </c>
      <c r="G29" s="107">
        <v>1</v>
      </c>
      <c r="H29" s="107">
        <v>1</v>
      </c>
      <c r="I29" s="107">
        <v>1</v>
      </c>
      <c r="J29" s="107">
        <v>1</v>
      </c>
      <c r="K29" s="107">
        <v>2</v>
      </c>
      <c r="L29" s="107">
        <v>1</v>
      </c>
      <c r="M29" s="107">
        <v>2</v>
      </c>
      <c r="N29" s="177">
        <f>SUM(B29:M29)</f>
        <v>22</v>
      </c>
    </row>
    <row r="30" spans="1:14">
      <c r="A30" s="13" t="s">
        <v>107</v>
      </c>
      <c r="B30" s="107">
        <v>106</v>
      </c>
      <c r="C30" s="107">
        <v>151</v>
      </c>
      <c r="D30" s="107">
        <v>147</v>
      </c>
      <c r="E30" s="107">
        <v>134</v>
      </c>
      <c r="F30" s="107">
        <v>108</v>
      </c>
      <c r="G30" s="107">
        <v>49</v>
      </c>
      <c r="H30" s="107">
        <v>42</v>
      </c>
      <c r="I30" s="107">
        <v>48</v>
      </c>
      <c r="J30" s="107">
        <v>83</v>
      </c>
      <c r="K30" s="107">
        <v>112</v>
      </c>
      <c r="L30" s="107">
        <v>113</v>
      </c>
      <c r="M30" s="107">
        <v>95</v>
      </c>
      <c r="N30" s="177">
        <f>SUM(B32:M32)</f>
        <v>132</v>
      </c>
    </row>
    <row r="31" spans="1:14">
      <c r="A31" s="13" t="s">
        <v>108</v>
      </c>
      <c r="B31" s="107">
        <v>6</v>
      </c>
      <c r="C31" s="107">
        <v>8</v>
      </c>
      <c r="D31" s="107">
        <v>21</v>
      </c>
      <c r="E31" s="107">
        <v>7</v>
      </c>
      <c r="F31" s="107">
        <v>5</v>
      </c>
      <c r="G31" s="107">
        <v>2</v>
      </c>
      <c r="H31" s="107">
        <v>2</v>
      </c>
      <c r="I31" s="107">
        <v>3</v>
      </c>
      <c r="J31" s="107">
        <v>5</v>
      </c>
      <c r="K31" s="107">
        <v>8</v>
      </c>
      <c r="L31" s="107">
        <v>8</v>
      </c>
      <c r="M31" s="107">
        <v>8</v>
      </c>
      <c r="N31" s="177">
        <f>SUM(B33:M33)</f>
        <v>64</v>
      </c>
    </row>
    <row r="32" spans="1:14">
      <c r="A32" s="13" t="s">
        <v>87</v>
      </c>
      <c r="B32" s="107">
        <v>10</v>
      </c>
      <c r="C32" s="107">
        <v>17</v>
      </c>
      <c r="D32" s="107">
        <v>21</v>
      </c>
      <c r="E32" s="107">
        <v>19</v>
      </c>
      <c r="F32" s="107">
        <v>10</v>
      </c>
      <c r="G32" s="107">
        <v>7</v>
      </c>
      <c r="H32" s="107">
        <v>5</v>
      </c>
      <c r="I32" s="107">
        <v>4</v>
      </c>
      <c r="J32" s="107">
        <v>8</v>
      </c>
      <c r="K32" s="107">
        <v>11</v>
      </c>
      <c r="L32" s="107">
        <v>12</v>
      </c>
      <c r="M32" s="107">
        <v>8</v>
      </c>
      <c r="N32" s="177">
        <f>SUM(B30:M30)</f>
        <v>1188</v>
      </c>
    </row>
    <row r="33" spans="1:14">
      <c r="A33" s="13" t="s">
        <v>88</v>
      </c>
      <c r="B33" s="107">
        <v>4</v>
      </c>
      <c r="C33" s="107">
        <v>7</v>
      </c>
      <c r="D33" s="107">
        <v>9</v>
      </c>
      <c r="E33" s="107">
        <v>7</v>
      </c>
      <c r="F33" s="107">
        <v>6</v>
      </c>
      <c r="G33" s="107">
        <v>1</v>
      </c>
      <c r="H33" s="107">
        <v>3</v>
      </c>
      <c r="I33" s="107">
        <v>2</v>
      </c>
      <c r="J33" s="107">
        <v>5</v>
      </c>
      <c r="K33" s="107">
        <v>8</v>
      </c>
      <c r="L33" s="107">
        <v>8</v>
      </c>
      <c r="M33" s="107">
        <v>4</v>
      </c>
      <c r="N33" s="177">
        <f>SUM(B31:M31)</f>
        <v>83</v>
      </c>
    </row>
    <row r="34" spans="1:14" ht="15.75" thickBot="1">
      <c r="A34" s="13" t="s">
        <v>109</v>
      </c>
      <c r="B34" s="156" t="s">
        <v>104</v>
      </c>
      <c r="C34" s="156" t="s">
        <v>104</v>
      </c>
      <c r="D34" s="156" t="s">
        <v>104</v>
      </c>
      <c r="E34" s="156" t="s">
        <v>104</v>
      </c>
      <c r="F34" s="156" t="s">
        <v>104</v>
      </c>
      <c r="G34" s="156" t="s">
        <v>104</v>
      </c>
      <c r="H34" s="156" t="s">
        <v>104</v>
      </c>
      <c r="I34" s="156" t="s">
        <v>104</v>
      </c>
      <c r="J34" s="156" t="s">
        <v>104</v>
      </c>
      <c r="K34" s="156" t="s">
        <v>104</v>
      </c>
      <c r="L34" s="156" t="s">
        <v>104</v>
      </c>
      <c r="M34" s="156" t="s">
        <v>104</v>
      </c>
      <c r="N34" s="180" t="s">
        <v>42</v>
      </c>
    </row>
    <row r="35" spans="1:14" ht="16.5" thickTop="1" thickBot="1">
      <c r="A35" s="140" t="s">
        <v>46</v>
      </c>
      <c r="B35" s="248">
        <f>SUM(B27:B33)</f>
        <v>228</v>
      </c>
      <c r="C35" s="248">
        <f t="shared" ref="C35:N35" si="2">SUM(C27:C33)</f>
        <v>341</v>
      </c>
      <c r="D35" s="248">
        <f t="shared" si="2"/>
        <v>342</v>
      </c>
      <c r="E35" s="248">
        <f t="shared" si="2"/>
        <v>356</v>
      </c>
      <c r="F35" s="248">
        <f t="shared" si="2"/>
        <v>258</v>
      </c>
      <c r="G35" s="248">
        <f t="shared" si="2"/>
        <v>133</v>
      </c>
      <c r="H35" s="248">
        <f t="shared" si="2"/>
        <v>102</v>
      </c>
      <c r="I35" s="248">
        <f t="shared" si="2"/>
        <v>113</v>
      </c>
      <c r="J35" s="248">
        <f t="shared" si="2"/>
        <v>111</v>
      </c>
      <c r="K35" s="248">
        <f t="shared" si="2"/>
        <v>153</v>
      </c>
      <c r="L35" s="248">
        <f t="shared" si="2"/>
        <v>150</v>
      </c>
      <c r="M35" s="248">
        <f t="shared" si="2"/>
        <v>126</v>
      </c>
      <c r="N35" s="249">
        <f t="shared" si="2"/>
        <v>2413</v>
      </c>
    </row>
    <row r="36" spans="1:14" ht="15.75" thickBot="1">
      <c r="A36" s="6"/>
      <c r="B36" s="182"/>
      <c r="C36" s="182"/>
      <c r="D36" s="182"/>
      <c r="E36" s="182"/>
      <c r="F36" s="182"/>
      <c r="G36" s="182"/>
      <c r="H36" s="182"/>
      <c r="I36" s="182"/>
      <c r="J36" s="182"/>
      <c r="K36" s="182"/>
      <c r="L36" s="182"/>
      <c r="M36" s="182"/>
      <c r="N36" s="182"/>
    </row>
    <row r="37" spans="1:14" ht="15.75" thickBot="1">
      <c r="A37" s="116" t="s">
        <v>20</v>
      </c>
      <c r="B37" s="258"/>
      <c r="C37" s="258">
        <v>125</v>
      </c>
      <c r="D37" s="258"/>
      <c r="E37" s="258">
        <v>140</v>
      </c>
      <c r="F37" s="258"/>
      <c r="G37" s="258">
        <v>125</v>
      </c>
      <c r="H37" s="258">
        <v>125</v>
      </c>
      <c r="I37" s="258"/>
      <c r="J37" s="258">
        <v>110</v>
      </c>
      <c r="K37" s="258"/>
      <c r="L37" s="258">
        <v>100</v>
      </c>
      <c r="M37" s="258">
        <v>255</v>
      </c>
      <c r="N37" s="259">
        <f>SUM(B37:M37)</f>
        <v>980</v>
      </c>
    </row>
    <row r="38" spans="1:14" ht="15.75" thickBot="1">
      <c r="A38" s="6"/>
      <c r="B38" s="182"/>
      <c r="C38" s="182"/>
      <c r="D38" s="182"/>
      <c r="E38" s="182"/>
      <c r="F38" s="182"/>
      <c r="G38" s="182"/>
      <c r="H38" s="182"/>
      <c r="I38" s="182"/>
      <c r="J38" s="182"/>
      <c r="K38" s="182"/>
      <c r="L38" s="182"/>
      <c r="M38" s="182"/>
      <c r="N38" s="182"/>
    </row>
    <row r="39" spans="1:14" ht="15.75" thickBot="1">
      <c r="A39" s="134" t="s">
        <v>67</v>
      </c>
      <c r="B39" s="251">
        <f>B24+B35+B37</f>
        <v>9087</v>
      </c>
      <c r="C39" s="251">
        <f t="shared" ref="C39:N39" si="3">C24+C35+C37</f>
        <v>9025</v>
      </c>
      <c r="D39" s="251">
        <f t="shared" si="3"/>
        <v>9204</v>
      </c>
      <c r="E39" s="251">
        <f t="shared" si="3"/>
        <v>8124</v>
      </c>
      <c r="F39" s="251">
        <f t="shared" si="3"/>
        <v>7525</v>
      </c>
      <c r="G39" s="251">
        <f t="shared" si="3"/>
        <v>8808</v>
      </c>
      <c r="H39" s="251">
        <f t="shared" si="3"/>
        <v>9135</v>
      </c>
      <c r="I39" s="251">
        <f t="shared" si="3"/>
        <v>10815</v>
      </c>
      <c r="J39" s="251">
        <f t="shared" si="3"/>
        <v>11442</v>
      </c>
      <c r="K39" s="251">
        <f t="shared" si="3"/>
        <v>8532</v>
      </c>
      <c r="L39" s="251">
        <f t="shared" si="3"/>
        <v>10291</v>
      </c>
      <c r="M39" s="251">
        <f t="shared" si="3"/>
        <v>5920</v>
      </c>
      <c r="N39" s="251">
        <f t="shared" si="3"/>
        <v>107908</v>
      </c>
    </row>
  </sheetData>
  <pageMargins left="0.7" right="0.7" top="0.75" bottom="0.75" header="0.3" footer="0.3"/>
  <pageSetup scale="8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N42"/>
  <sheetViews>
    <sheetView showGridLines="0" topLeftCell="A7" workbookViewId="0">
      <selection activeCell="N1" sqref="N1"/>
    </sheetView>
  </sheetViews>
  <sheetFormatPr defaultColWidth="8.85546875" defaultRowHeight="15"/>
  <cols>
    <col min="1" max="1" width="23.85546875" style="17" customWidth="1"/>
    <col min="2" max="2" width="9.7109375" style="17" bestFit="1" customWidth="1"/>
    <col min="3" max="3" width="9.85546875" style="17" bestFit="1" customWidth="1"/>
    <col min="4" max="4" width="10.42578125" style="17" bestFit="1" customWidth="1"/>
    <col min="5" max="5" width="9.7109375" style="17" bestFit="1" customWidth="1"/>
    <col min="6" max="6" width="10.42578125" style="17" bestFit="1" customWidth="1"/>
    <col min="7" max="8" width="9.42578125" style="17" bestFit="1" customWidth="1"/>
    <col min="9" max="9" width="9.7109375" style="17" bestFit="1" customWidth="1"/>
    <col min="10" max="10" width="10" style="17" bestFit="1" customWidth="1"/>
    <col min="11" max="11" width="9.42578125" style="17" bestFit="1" customWidth="1"/>
    <col min="12" max="12" width="10.28515625" style="17" bestFit="1" customWidth="1"/>
    <col min="13" max="13" width="9.42578125" style="17" bestFit="1" customWidth="1"/>
    <col min="14" max="14" width="11.42578125" style="17" bestFit="1" customWidth="1"/>
    <col min="15" max="16384" width="8.85546875" style="17"/>
  </cols>
  <sheetData>
    <row r="1" spans="1:14" ht="17.25" thickBot="1">
      <c r="A1" s="116" t="s">
        <v>0</v>
      </c>
      <c r="B1" s="117">
        <v>41275</v>
      </c>
      <c r="C1" s="117">
        <v>41306</v>
      </c>
      <c r="D1" s="117">
        <v>41334</v>
      </c>
      <c r="E1" s="117">
        <v>41365</v>
      </c>
      <c r="F1" s="117">
        <v>41395</v>
      </c>
      <c r="G1" s="117">
        <v>41426</v>
      </c>
      <c r="H1" s="117">
        <v>41456</v>
      </c>
      <c r="I1" s="117">
        <v>41487</v>
      </c>
      <c r="J1" s="117">
        <v>41518</v>
      </c>
      <c r="K1" s="117">
        <v>41548</v>
      </c>
      <c r="L1" s="117">
        <v>41579</v>
      </c>
      <c r="M1" s="117">
        <v>41609</v>
      </c>
      <c r="N1" s="118"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c r="A4" s="139" t="s">
        <v>24</v>
      </c>
      <c r="B4" s="105">
        <v>873</v>
      </c>
      <c r="C4" s="105">
        <v>744</v>
      </c>
      <c r="D4" s="105">
        <v>816</v>
      </c>
      <c r="E4" s="105">
        <v>806</v>
      </c>
      <c r="F4" s="105">
        <v>723</v>
      </c>
      <c r="G4" s="105">
        <v>466</v>
      </c>
      <c r="H4" s="105">
        <v>466</v>
      </c>
      <c r="I4" s="184">
        <v>1175</v>
      </c>
      <c r="J4" s="184">
        <v>825</v>
      </c>
      <c r="K4" s="184">
        <v>945</v>
      </c>
      <c r="L4" s="184">
        <v>1052</v>
      </c>
      <c r="M4" s="184">
        <v>787</v>
      </c>
      <c r="N4" s="176">
        <f>SUM(B4:M4)</f>
        <v>9678</v>
      </c>
    </row>
    <row r="5" spans="1:14">
      <c r="A5" s="139" t="s">
        <v>27</v>
      </c>
      <c r="B5" s="107">
        <v>133</v>
      </c>
      <c r="C5" s="107">
        <v>136</v>
      </c>
      <c r="D5" s="107">
        <v>112</v>
      </c>
      <c r="E5" s="107">
        <v>130</v>
      </c>
      <c r="F5" s="107">
        <v>99</v>
      </c>
      <c r="G5" s="107">
        <v>135</v>
      </c>
      <c r="H5" s="107">
        <v>124</v>
      </c>
      <c r="I5" s="178">
        <v>91</v>
      </c>
      <c r="J5" s="178">
        <v>73</v>
      </c>
      <c r="K5" s="178">
        <v>77</v>
      </c>
      <c r="L5" s="178">
        <v>90</v>
      </c>
      <c r="M5" s="178">
        <v>67</v>
      </c>
      <c r="N5" s="177">
        <f t="shared" ref="N5:N24" si="0">SUM(B5:M5)</f>
        <v>1267</v>
      </c>
    </row>
    <row r="6" spans="1:14">
      <c r="A6" s="139" t="s">
        <v>115</v>
      </c>
      <c r="B6" s="107">
        <v>1716</v>
      </c>
      <c r="C6" s="107">
        <v>1436</v>
      </c>
      <c r="D6" s="107">
        <v>1545</v>
      </c>
      <c r="E6" s="107">
        <v>1604</v>
      </c>
      <c r="F6" s="107">
        <v>1645</v>
      </c>
      <c r="G6" s="107">
        <v>1609</v>
      </c>
      <c r="H6" s="107">
        <v>1974</v>
      </c>
      <c r="I6" s="178">
        <v>2100</v>
      </c>
      <c r="J6" s="178">
        <v>1654</v>
      </c>
      <c r="K6" s="178">
        <v>1716</v>
      </c>
      <c r="L6" s="178">
        <v>1579</v>
      </c>
      <c r="M6" s="178">
        <v>1819</v>
      </c>
      <c r="N6" s="177">
        <f t="shared" si="0"/>
        <v>20397</v>
      </c>
    </row>
    <row r="7" spans="1:14" ht="12.75" customHeight="1">
      <c r="A7" s="139" t="s">
        <v>116</v>
      </c>
      <c r="B7" s="107">
        <v>73</v>
      </c>
      <c r="C7" s="107">
        <v>169</v>
      </c>
      <c r="D7" s="107">
        <v>490</v>
      </c>
      <c r="E7" s="107">
        <v>310</v>
      </c>
      <c r="F7" s="107">
        <v>52</v>
      </c>
      <c r="G7" s="107">
        <v>106</v>
      </c>
      <c r="H7" s="107">
        <v>208</v>
      </c>
      <c r="I7" s="178">
        <v>145</v>
      </c>
      <c r="J7" s="178">
        <v>484</v>
      </c>
      <c r="K7" s="178">
        <v>395</v>
      </c>
      <c r="L7" s="178">
        <v>480</v>
      </c>
      <c r="M7" s="178">
        <v>323</v>
      </c>
      <c r="N7" s="177">
        <f t="shared" si="0"/>
        <v>3235</v>
      </c>
    </row>
    <row r="8" spans="1:14">
      <c r="A8" s="139" t="s">
        <v>28</v>
      </c>
      <c r="B8" s="107">
        <v>442</v>
      </c>
      <c r="C8" s="107">
        <v>401</v>
      </c>
      <c r="D8" s="107">
        <v>565</v>
      </c>
      <c r="E8" s="107">
        <v>502</v>
      </c>
      <c r="F8" s="107">
        <v>381</v>
      </c>
      <c r="G8" s="107">
        <v>378</v>
      </c>
      <c r="H8" s="107">
        <v>278</v>
      </c>
      <c r="I8" s="178">
        <v>280</v>
      </c>
      <c r="J8" s="178">
        <v>508</v>
      </c>
      <c r="K8" s="178">
        <v>451</v>
      </c>
      <c r="L8" s="178">
        <v>541</v>
      </c>
      <c r="M8" s="178">
        <v>460</v>
      </c>
      <c r="N8" s="177">
        <f t="shared" si="0"/>
        <v>5187</v>
      </c>
    </row>
    <row r="9" spans="1:14">
      <c r="A9" s="139" t="s">
        <v>81</v>
      </c>
      <c r="B9" s="107">
        <v>1302</v>
      </c>
      <c r="C9" s="107">
        <v>1008</v>
      </c>
      <c r="D9" s="107">
        <v>1123</v>
      </c>
      <c r="E9" s="107">
        <v>778</v>
      </c>
      <c r="F9" s="107">
        <v>889</v>
      </c>
      <c r="G9" s="107">
        <v>1570</v>
      </c>
      <c r="H9" s="107">
        <v>523</v>
      </c>
      <c r="I9" s="178">
        <f>810+82</f>
        <v>892</v>
      </c>
      <c r="J9" s="178">
        <f>1415+188</f>
        <v>1603</v>
      </c>
      <c r="K9" s="178">
        <f>673+236</f>
        <v>909</v>
      </c>
      <c r="L9" s="178">
        <f>673+236</f>
        <v>909</v>
      </c>
      <c r="M9" s="178">
        <f>1974+58</f>
        <v>2032</v>
      </c>
      <c r="N9" s="177">
        <f t="shared" si="0"/>
        <v>13538</v>
      </c>
    </row>
    <row r="10" spans="1:14" ht="15.75" customHeight="1">
      <c r="A10" s="139" t="s">
        <v>117</v>
      </c>
      <c r="B10" s="107">
        <v>603</v>
      </c>
      <c r="C10" s="107">
        <v>200</v>
      </c>
      <c r="D10" s="107">
        <v>402</v>
      </c>
      <c r="E10" s="107">
        <v>270</v>
      </c>
      <c r="F10" s="107">
        <v>76</v>
      </c>
      <c r="G10" s="107">
        <v>73</v>
      </c>
      <c r="H10" s="107">
        <v>82</v>
      </c>
      <c r="I10" s="178">
        <v>156</v>
      </c>
      <c r="J10" s="178">
        <v>469</v>
      </c>
      <c r="K10" s="178">
        <v>466</v>
      </c>
      <c r="L10" s="178">
        <v>550</v>
      </c>
      <c r="M10" s="178">
        <v>264</v>
      </c>
      <c r="N10" s="177">
        <f t="shared" si="0"/>
        <v>3611</v>
      </c>
    </row>
    <row r="11" spans="1:14">
      <c r="A11" s="139" t="s">
        <v>33</v>
      </c>
      <c r="B11" s="107" t="s">
        <v>104</v>
      </c>
      <c r="C11" s="107" t="s">
        <v>104</v>
      </c>
      <c r="D11" s="107" t="s">
        <v>104</v>
      </c>
      <c r="E11" s="107" t="s">
        <v>104</v>
      </c>
      <c r="F11" s="107" t="s">
        <v>104</v>
      </c>
      <c r="G11" s="107" t="s">
        <v>104</v>
      </c>
      <c r="H11" s="107" t="s">
        <v>104</v>
      </c>
      <c r="I11" s="107" t="s">
        <v>104</v>
      </c>
      <c r="J11" s="107" t="s">
        <v>104</v>
      </c>
      <c r="K11" s="107" t="s">
        <v>104</v>
      </c>
      <c r="L11" s="107" t="s">
        <v>104</v>
      </c>
      <c r="M11" s="107" t="s">
        <v>104</v>
      </c>
      <c r="N11" s="177" t="s">
        <v>42</v>
      </c>
    </row>
    <row r="12" spans="1:14">
      <c r="A12" s="139" t="s">
        <v>118</v>
      </c>
      <c r="B12" s="107" t="s">
        <v>42</v>
      </c>
      <c r="C12" s="107" t="s">
        <v>42</v>
      </c>
      <c r="D12" s="107" t="s">
        <v>42</v>
      </c>
      <c r="E12" s="107" t="s">
        <v>42</v>
      </c>
      <c r="F12" s="107" t="s">
        <v>42</v>
      </c>
      <c r="G12" s="107">
        <v>18</v>
      </c>
      <c r="H12" s="107">
        <v>10</v>
      </c>
      <c r="I12" s="107">
        <v>7</v>
      </c>
      <c r="J12" s="107">
        <v>8</v>
      </c>
      <c r="K12" s="107">
        <v>9</v>
      </c>
      <c r="L12" s="107">
        <v>9</v>
      </c>
      <c r="M12" s="107">
        <v>5</v>
      </c>
      <c r="N12" s="177">
        <f>SUM(F12:M12)</f>
        <v>66</v>
      </c>
    </row>
    <row r="13" spans="1:14">
      <c r="A13" s="139" t="s">
        <v>76</v>
      </c>
      <c r="B13" s="107">
        <v>627</v>
      </c>
      <c r="C13" s="107">
        <v>353</v>
      </c>
      <c r="D13" s="107">
        <v>569</v>
      </c>
      <c r="E13" s="107">
        <v>365</v>
      </c>
      <c r="F13" s="107">
        <v>384</v>
      </c>
      <c r="G13" s="107">
        <v>480</v>
      </c>
      <c r="H13" s="107">
        <v>705</v>
      </c>
      <c r="I13" s="178">
        <v>703</v>
      </c>
      <c r="J13" s="178">
        <v>961</v>
      </c>
      <c r="K13" s="178">
        <v>449</v>
      </c>
      <c r="L13" s="178">
        <v>706</v>
      </c>
      <c r="M13" s="178">
        <v>496</v>
      </c>
      <c r="N13" s="177">
        <f t="shared" si="0"/>
        <v>6798</v>
      </c>
    </row>
    <row r="14" spans="1:14">
      <c r="A14" s="139" t="s">
        <v>29</v>
      </c>
      <c r="B14" s="107">
        <v>450</v>
      </c>
      <c r="C14" s="107">
        <v>584</v>
      </c>
      <c r="D14" s="107">
        <v>889</v>
      </c>
      <c r="E14" s="107">
        <v>636</v>
      </c>
      <c r="F14" s="107">
        <v>445</v>
      </c>
      <c r="G14" s="107">
        <v>413</v>
      </c>
      <c r="H14" s="107">
        <v>548</v>
      </c>
      <c r="I14" s="178">
        <v>618</v>
      </c>
      <c r="J14" s="178">
        <v>579</v>
      </c>
      <c r="K14" s="178">
        <v>581</v>
      </c>
      <c r="L14" s="178">
        <v>454</v>
      </c>
      <c r="M14" s="178">
        <v>413</v>
      </c>
      <c r="N14" s="177">
        <f>SUM(B14:M14)</f>
        <v>6610</v>
      </c>
    </row>
    <row r="15" spans="1:14">
      <c r="A15" s="3" t="s">
        <v>34</v>
      </c>
      <c r="B15" s="107" t="s">
        <v>104</v>
      </c>
      <c r="C15" s="107" t="s">
        <v>104</v>
      </c>
      <c r="D15" s="107" t="s">
        <v>104</v>
      </c>
      <c r="E15" s="107" t="s">
        <v>104</v>
      </c>
      <c r="F15" s="107" t="s">
        <v>104</v>
      </c>
      <c r="G15" s="107" t="s">
        <v>104</v>
      </c>
      <c r="H15" s="107" t="s">
        <v>104</v>
      </c>
      <c r="I15" s="107" t="s">
        <v>104</v>
      </c>
      <c r="J15" s="107" t="s">
        <v>104</v>
      </c>
      <c r="K15" s="107" t="s">
        <v>104</v>
      </c>
      <c r="L15" s="107" t="s">
        <v>104</v>
      </c>
      <c r="M15" s="107" t="s">
        <v>104</v>
      </c>
      <c r="N15" s="177" t="s">
        <v>42</v>
      </c>
    </row>
    <row r="16" spans="1:14">
      <c r="A16" s="139" t="s">
        <v>119</v>
      </c>
      <c r="B16" s="107">
        <v>1</v>
      </c>
      <c r="C16" s="107">
        <v>1</v>
      </c>
      <c r="D16" s="107">
        <v>1</v>
      </c>
      <c r="E16" s="107">
        <v>1</v>
      </c>
      <c r="F16" s="107">
        <v>2</v>
      </c>
      <c r="G16" s="107">
        <v>2</v>
      </c>
      <c r="H16" s="107">
        <v>21</v>
      </c>
      <c r="I16" s="178">
        <v>1</v>
      </c>
      <c r="J16" s="178">
        <v>1</v>
      </c>
      <c r="K16" s="178">
        <v>0</v>
      </c>
      <c r="L16" s="178">
        <v>0</v>
      </c>
      <c r="M16" s="178">
        <v>1</v>
      </c>
      <c r="N16" s="177">
        <f t="shared" si="0"/>
        <v>32</v>
      </c>
    </row>
    <row r="17" spans="1:14">
      <c r="A17" s="139" t="s">
        <v>2</v>
      </c>
      <c r="B17" s="107">
        <v>136</v>
      </c>
      <c r="C17" s="107">
        <v>114</v>
      </c>
      <c r="D17" s="107">
        <v>122</v>
      </c>
      <c r="E17" s="107">
        <v>122</v>
      </c>
      <c r="F17" s="107">
        <v>126</v>
      </c>
      <c r="G17" s="107">
        <v>103</v>
      </c>
      <c r="H17" s="107">
        <v>129</v>
      </c>
      <c r="I17" s="178">
        <v>114</v>
      </c>
      <c r="J17" s="178">
        <v>113</v>
      </c>
      <c r="K17" s="178">
        <v>109</v>
      </c>
      <c r="L17" s="178">
        <v>115</v>
      </c>
      <c r="M17" s="178">
        <v>94</v>
      </c>
      <c r="N17" s="177">
        <f t="shared" si="0"/>
        <v>1397</v>
      </c>
    </row>
    <row r="18" spans="1:14">
      <c r="A18" s="139" t="s">
        <v>30</v>
      </c>
      <c r="B18" s="107">
        <v>0</v>
      </c>
      <c r="C18" s="107">
        <v>0</v>
      </c>
      <c r="D18" s="107">
        <v>0</v>
      </c>
      <c r="E18" s="107">
        <v>0</v>
      </c>
      <c r="F18" s="107">
        <v>0</v>
      </c>
      <c r="G18" s="107">
        <v>40</v>
      </c>
      <c r="H18" s="107">
        <v>100</v>
      </c>
      <c r="I18" s="178">
        <v>191</v>
      </c>
      <c r="J18" s="178">
        <v>100</v>
      </c>
      <c r="K18" s="178">
        <v>0</v>
      </c>
      <c r="L18" s="178">
        <v>0</v>
      </c>
      <c r="M18" s="178">
        <v>0</v>
      </c>
      <c r="N18" s="177">
        <f t="shared" si="0"/>
        <v>431</v>
      </c>
    </row>
    <row r="19" spans="1:14">
      <c r="A19" s="139" t="s">
        <v>120</v>
      </c>
      <c r="B19" s="107">
        <v>639</v>
      </c>
      <c r="C19" s="107">
        <v>493</v>
      </c>
      <c r="D19" s="107">
        <v>590</v>
      </c>
      <c r="E19" s="107">
        <v>478</v>
      </c>
      <c r="F19" s="107">
        <v>374</v>
      </c>
      <c r="G19" s="107">
        <v>444</v>
      </c>
      <c r="H19" s="107">
        <v>395</v>
      </c>
      <c r="I19" s="178">
        <v>552</v>
      </c>
      <c r="J19" s="178">
        <v>730</v>
      </c>
      <c r="K19" s="178">
        <v>646</v>
      </c>
      <c r="L19" s="178">
        <v>675</v>
      </c>
      <c r="M19" s="178">
        <v>559</v>
      </c>
      <c r="N19" s="177">
        <f t="shared" si="0"/>
        <v>6575</v>
      </c>
    </row>
    <row r="20" spans="1:14" ht="30">
      <c r="A20" s="139" t="s">
        <v>122</v>
      </c>
      <c r="B20" s="107">
        <v>873</v>
      </c>
      <c r="C20" s="107">
        <v>624</v>
      </c>
      <c r="D20" s="107">
        <v>771</v>
      </c>
      <c r="E20" s="107">
        <v>495</v>
      </c>
      <c r="F20" s="107">
        <v>115</v>
      </c>
      <c r="G20" s="107">
        <v>105</v>
      </c>
      <c r="H20" s="107">
        <v>51</v>
      </c>
      <c r="I20" s="178">
        <v>240</v>
      </c>
      <c r="J20" s="178">
        <v>915</v>
      </c>
      <c r="K20" s="178">
        <v>780</v>
      </c>
      <c r="L20" s="178">
        <v>742</v>
      </c>
      <c r="M20" s="178">
        <v>854</v>
      </c>
      <c r="N20" s="177">
        <f t="shared" si="0"/>
        <v>6565</v>
      </c>
    </row>
    <row r="21" spans="1:14" ht="30">
      <c r="A21" s="139" t="s">
        <v>121</v>
      </c>
      <c r="B21" s="107">
        <v>932</v>
      </c>
      <c r="C21" s="107">
        <v>629</v>
      </c>
      <c r="D21" s="107">
        <v>766</v>
      </c>
      <c r="E21" s="107">
        <v>444</v>
      </c>
      <c r="F21" s="107">
        <v>22</v>
      </c>
      <c r="G21" s="107">
        <v>7</v>
      </c>
      <c r="H21" s="107">
        <v>263</v>
      </c>
      <c r="I21" s="178">
        <v>303</v>
      </c>
      <c r="J21" s="178">
        <v>768</v>
      </c>
      <c r="K21" s="178">
        <v>661</v>
      </c>
      <c r="L21" s="178">
        <v>942</v>
      </c>
      <c r="M21" s="178">
        <v>270</v>
      </c>
      <c r="N21" s="177">
        <f t="shared" si="0"/>
        <v>6007</v>
      </c>
    </row>
    <row r="22" spans="1:14">
      <c r="A22" s="139" t="s">
        <v>31</v>
      </c>
      <c r="B22" s="107">
        <v>691</v>
      </c>
      <c r="C22" s="107">
        <v>514</v>
      </c>
      <c r="D22" s="107">
        <v>745</v>
      </c>
      <c r="E22" s="107">
        <v>626</v>
      </c>
      <c r="F22" s="107">
        <v>135</v>
      </c>
      <c r="G22" s="107">
        <v>182</v>
      </c>
      <c r="H22" s="107">
        <v>512</v>
      </c>
      <c r="I22" s="178">
        <v>832</v>
      </c>
      <c r="J22" s="178">
        <v>0</v>
      </c>
      <c r="K22" s="178">
        <v>214</v>
      </c>
      <c r="L22" s="178">
        <v>958</v>
      </c>
      <c r="M22" s="178">
        <v>823</v>
      </c>
      <c r="N22" s="177">
        <f t="shared" si="0"/>
        <v>6232</v>
      </c>
    </row>
    <row r="23" spans="1:14">
      <c r="A23" s="139" t="s">
        <v>123</v>
      </c>
      <c r="B23" s="107">
        <v>119</v>
      </c>
      <c r="C23" s="107">
        <v>83</v>
      </c>
      <c r="D23" s="107">
        <v>80</v>
      </c>
      <c r="E23" s="107">
        <v>85</v>
      </c>
      <c r="F23" s="107">
        <v>99</v>
      </c>
      <c r="G23" s="107">
        <v>83</v>
      </c>
      <c r="H23" s="107">
        <v>95</v>
      </c>
      <c r="I23" s="178">
        <v>145</v>
      </c>
      <c r="J23" s="178">
        <v>122</v>
      </c>
      <c r="K23" s="178">
        <v>147</v>
      </c>
      <c r="L23" s="178">
        <v>122</v>
      </c>
      <c r="M23" s="178">
        <v>103</v>
      </c>
      <c r="N23" s="177">
        <f t="shared" si="0"/>
        <v>1283</v>
      </c>
    </row>
    <row r="24" spans="1:14" ht="15.75" thickBot="1">
      <c r="A24" s="139" t="s">
        <v>23</v>
      </c>
      <c r="B24" s="156">
        <v>200</v>
      </c>
      <c r="C24" s="156">
        <v>167</v>
      </c>
      <c r="D24" s="156">
        <v>240</v>
      </c>
      <c r="E24" s="156">
        <v>264</v>
      </c>
      <c r="F24" s="156">
        <v>129</v>
      </c>
      <c r="G24" s="156">
        <v>104</v>
      </c>
      <c r="H24" s="156">
        <v>161</v>
      </c>
      <c r="I24" s="179">
        <v>138</v>
      </c>
      <c r="J24" s="179">
        <v>113</v>
      </c>
      <c r="K24" s="179">
        <v>178</v>
      </c>
      <c r="L24" s="179">
        <v>127</v>
      </c>
      <c r="M24" s="179">
        <v>211</v>
      </c>
      <c r="N24" s="180">
        <f t="shared" si="0"/>
        <v>2032</v>
      </c>
    </row>
    <row r="25" spans="1:14" ht="15" customHeight="1" thickTop="1" thickBot="1">
      <c r="A25" s="140" t="s">
        <v>45</v>
      </c>
      <c r="B25" s="248">
        <f t="shared" ref="B25:N25" si="1">SUM(B4:B24)</f>
        <v>9810</v>
      </c>
      <c r="C25" s="248">
        <f t="shared" si="1"/>
        <v>7656</v>
      </c>
      <c r="D25" s="248">
        <f t="shared" si="1"/>
        <v>9826</v>
      </c>
      <c r="E25" s="248">
        <f t="shared" si="1"/>
        <v>7916</v>
      </c>
      <c r="F25" s="248">
        <f t="shared" si="1"/>
        <v>5696</v>
      </c>
      <c r="G25" s="248">
        <f t="shared" si="1"/>
        <v>6318</v>
      </c>
      <c r="H25" s="248">
        <f t="shared" si="1"/>
        <v>6645</v>
      </c>
      <c r="I25" s="248">
        <f t="shared" si="1"/>
        <v>8683</v>
      </c>
      <c r="J25" s="248">
        <f t="shared" si="1"/>
        <v>10026</v>
      </c>
      <c r="K25" s="248">
        <f t="shared" si="1"/>
        <v>8733</v>
      </c>
      <c r="L25" s="248">
        <f t="shared" si="1"/>
        <v>10051</v>
      </c>
      <c r="M25" s="248">
        <f t="shared" si="1"/>
        <v>9581</v>
      </c>
      <c r="N25" s="249">
        <f t="shared" si="1"/>
        <v>100941</v>
      </c>
    </row>
    <row r="26" spans="1:14">
      <c r="A26" s="6"/>
      <c r="B26" s="182"/>
      <c r="C26" s="182"/>
      <c r="D26" s="182"/>
      <c r="E26" s="182"/>
      <c r="F26" s="182"/>
      <c r="G26" s="182"/>
      <c r="H26" s="182"/>
      <c r="I26" s="182"/>
      <c r="J26" s="182"/>
      <c r="K26" s="182"/>
      <c r="L26" s="182"/>
      <c r="M26" s="182"/>
      <c r="N26" s="182"/>
    </row>
    <row r="27" spans="1:14" ht="15.75" thickBot="1">
      <c r="A27" s="6" t="s">
        <v>8</v>
      </c>
      <c r="B27" s="182"/>
      <c r="C27" s="182"/>
      <c r="D27" s="182"/>
      <c r="E27" s="182"/>
      <c r="F27" s="182"/>
      <c r="G27" s="182"/>
      <c r="H27" s="182"/>
      <c r="I27" s="182"/>
      <c r="J27" s="182"/>
      <c r="K27" s="182"/>
      <c r="L27" s="182"/>
      <c r="M27" s="182"/>
      <c r="N27" s="182"/>
    </row>
    <row r="28" spans="1:14">
      <c r="A28" s="136" t="s">
        <v>105</v>
      </c>
      <c r="B28" s="105">
        <v>2</v>
      </c>
      <c r="C28" s="105">
        <v>5</v>
      </c>
      <c r="D28" s="105">
        <v>3</v>
      </c>
      <c r="E28" s="105">
        <v>3</v>
      </c>
      <c r="F28" s="105">
        <v>4</v>
      </c>
      <c r="G28" s="105">
        <v>3</v>
      </c>
      <c r="H28" s="105">
        <v>2</v>
      </c>
      <c r="I28" s="184">
        <v>3</v>
      </c>
      <c r="J28" s="184">
        <v>3</v>
      </c>
      <c r="K28" s="184">
        <v>20</v>
      </c>
      <c r="L28" s="184">
        <v>4</v>
      </c>
      <c r="M28" s="184">
        <v>4</v>
      </c>
      <c r="N28" s="176">
        <f t="shared" ref="N28:N36" si="2">SUM(B28:M28)</f>
        <v>56</v>
      </c>
    </row>
    <row r="29" spans="1:14">
      <c r="A29" s="13" t="s">
        <v>85</v>
      </c>
      <c r="B29" s="107">
        <v>4</v>
      </c>
      <c r="C29" s="107">
        <v>8</v>
      </c>
      <c r="D29" s="107">
        <v>6</v>
      </c>
      <c r="E29" s="107">
        <v>47</v>
      </c>
      <c r="F29" s="107">
        <v>5</v>
      </c>
      <c r="G29" s="107">
        <v>3</v>
      </c>
      <c r="H29" s="107">
        <v>4</v>
      </c>
      <c r="I29" s="178">
        <v>5</v>
      </c>
      <c r="J29" s="178">
        <v>2</v>
      </c>
      <c r="K29" s="178">
        <v>6</v>
      </c>
      <c r="L29" s="178">
        <v>6</v>
      </c>
      <c r="M29" s="178">
        <v>7</v>
      </c>
      <c r="N29" s="177">
        <f t="shared" si="2"/>
        <v>103</v>
      </c>
    </row>
    <row r="30" spans="1:14">
      <c r="A30" s="13" t="s">
        <v>106</v>
      </c>
      <c r="B30" s="107">
        <v>1</v>
      </c>
      <c r="C30" s="107">
        <v>2</v>
      </c>
      <c r="D30" s="107">
        <v>3</v>
      </c>
      <c r="E30" s="107">
        <v>1</v>
      </c>
      <c r="F30" s="107">
        <v>1</v>
      </c>
      <c r="G30" s="107">
        <v>1</v>
      </c>
      <c r="H30" s="107">
        <v>1</v>
      </c>
      <c r="I30" s="178">
        <v>0</v>
      </c>
      <c r="J30" s="178">
        <v>0</v>
      </c>
      <c r="K30" s="178">
        <v>3</v>
      </c>
      <c r="L30" s="178">
        <v>2</v>
      </c>
      <c r="M30" s="178">
        <v>1</v>
      </c>
      <c r="N30" s="177">
        <f t="shared" si="2"/>
        <v>16</v>
      </c>
    </row>
    <row r="31" spans="1:14">
      <c r="A31" s="13" t="s">
        <v>107</v>
      </c>
      <c r="B31" s="107">
        <v>70</v>
      </c>
      <c r="C31" s="107">
        <v>120</v>
      </c>
      <c r="D31" s="107">
        <v>111</v>
      </c>
      <c r="E31" s="107">
        <v>118</v>
      </c>
      <c r="F31" s="107">
        <v>65</v>
      </c>
      <c r="G31" s="107">
        <v>88</v>
      </c>
      <c r="H31" s="107">
        <v>51</v>
      </c>
      <c r="I31" s="178">
        <v>55</v>
      </c>
      <c r="J31" s="178">
        <v>79</v>
      </c>
      <c r="K31" s="178">
        <v>91</v>
      </c>
      <c r="L31" s="178">
        <v>88</v>
      </c>
      <c r="M31" s="178">
        <v>67</v>
      </c>
      <c r="N31" s="177">
        <f>SUM(B31:M31)</f>
        <v>1003</v>
      </c>
    </row>
    <row r="32" spans="1:14">
      <c r="A32" s="13" t="s">
        <v>108</v>
      </c>
      <c r="B32" s="107">
        <v>5</v>
      </c>
      <c r="C32" s="107">
        <v>9</v>
      </c>
      <c r="D32" s="107">
        <v>8</v>
      </c>
      <c r="E32" s="107">
        <v>8</v>
      </c>
      <c r="F32" s="107">
        <v>9</v>
      </c>
      <c r="G32" s="107">
        <v>13</v>
      </c>
      <c r="H32" s="107">
        <v>10</v>
      </c>
      <c r="I32" s="178">
        <v>8</v>
      </c>
      <c r="J32" s="178">
        <v>4</v>
      </c>
      <c r="K32" s="178">
        <v>7</v>
      </c>
      <c r="L32" s="178">
        <v>17</v>
      </c>
      <c r="M32" s="178">
        <v>52</v>
      </c>
      <c r="N32" s="177">
        <f t="shared" si="2"/>
        <v>150</v>
      </c>
    </row>
    <row r="33" spans="1:14">
      <c r="A33" s="13" t="s">
        <v>87</v>
      </c>
      <c r="B33" s="107">
        <v>5</v>
      </c>
      <c r="C33" s="107">
        <v>10</v>
      </c>
      <c r="D33" s="107">
        <v>11</v>
      </c>
      <c r="E33" s="107">
        <v>20</v>
      </c>
      <c r="F33" s="107">
        <v>0</v>
      </c>
      <c r="G33" s="107">
        <v>1</v>
      </c>
      <c r="H33" s="107">
        <v>2</v>
      </c>
      <c r="I33" s="178">
        <v>6</v>
      </c>
      <c r="J33" s="178">
        <v>7</v>
      </c>
      <c r="K33" s="178">
        <v>10</v>
      </c>
      <c r="L33" s="178">
        <v>10</v>
      </c>
      <c r="M33" s="178">
        <v>7</v>
      </c>
      <c r="N33" s="177">
        <f t="shared" si="2"/>
        <v>89</v>
      </c>
    </row>
    <row r="34" spans="1:14">
      <c r="A34" s="13" t="s">
        <v>88</v>
      </c>
      <c r="B34" s="107">
        <v>4</v>
      </c>
      <c r="C34" s="107">
        <v>10</v>
      </c>
      <c r="D34" s="107">
        <v>8</v>
      </c>
      <c r="E34" s="107">
        <v>8</v>
      </c>
      <c r="F34" s="107">
        <v>52</v>
      </c>
      <c r="G34" s="178">
        <v>4</v>
      </c>
      <c r="H34" s="178">
        <v>1</v>
      </c>
      <c r="I34" s="178">
        <v>1</v>
      </c>
      <c r="J34" s="178">
        <v>3</v>
      </c>
      <c r="K34" s="178">
        <v>3</v>
      </c>
      <c r="L34" s="178">
        <v>3</v>
      </c>
      <c r="M34" s="178">
        <v>3</v>
      </c>
      <c r="N34" s="177">
        <f t="shared" si="2"/>
        <v>100</v>
      </c>
    </row>
    <row r="35" spans="1:14" ht="15.75" thickBot="1">
      <c r="A35" s="13" t="s">
        <v>109</v>
      </c>
      <c r="B35" s="156" t="s">
        <v>104</v>
      </c>
      <c r="C35" s="156" t="s">
        <v>104</v>
      </c>
      <c r="D35" s="156" t="s">
        <v>104</v>
      </c>
      <c r="E35" s="156" t="s">
        <v>104</v>
      </c>
      <c r="F35" s="156" t="s">
        <v>104</v>
      </c>
      <c r="G35" s="156" t="s">
        <v>104</v>
      </c>
      <c r="H35" s="156" t="s">
        <v>104</v>
      </c>
      <c r="I35" s="156" t="s">
        <v>104</v>
      </c>
      <c r="J35" s="156" t="s">
        <v>104</v>
      </c>
      <c r="K35" s="156" t="s">
        <v>104</v>
      </c>
      <c r="L35" s="156" t="s">
        <v>104</v>
      </c>
      <c r="M35" s="156" t="s">
        <v>104</v>
      </c>
      <c r="N35" s="180" t="s">
        <v>42</v>
      </c>
    </row>
    <row r="36" spans="1:14" ht="16.5" thickTop="1" thickBot="1">
      <c r="A36" s="140" t="s">
        <v>46</v>
      </c>
      <c r="B36" s="248">
        <f t="shared" ref="B36:M36" si="3">SUM(B28:B34)</f>
        <v>91</v>
      </c>
      <c r="C36" s="248">
        <f t="shared" si="3"/>
        <v>164</v>
      </c>
      <c r="D36" s="248">
        <f t="shared" si="3"/>
        <v>150</v>
      </c>
      <c r="E36" s="248">
        <f t="shared" si="3"/>
        <v>205</v>
      </c>
      <c r="F36" s="248">
        <f t="shared" si="3"/>
        <v>136</v>
      </c>
      <c r="G36" s="248">
        <f t="shared" si="3"/>
        <v>113</v>
      </c>
      <c r="H36" s="248">
        <f t="shared" si="3"/>
        <v>71</v>
      </c>
      <c r="I36" s="248">
        <f t="shared" si="3"/>
        <v>78</v>
      </c>
      <c r="J36" s="248">
        <f t="shared" si="3"/>
        <v>98</v>
      </c>
      <c r="K36" s="248">
        <f t="shared" si="3"/>
        <v>140</v>
      </c>
      <c r="L36" s="248">
        <f t="shared" si="3"/>
        <v>130</v>
      </c>
      <c r="M36" s="248">
        <f t="shared" si="3"/>
        <v>141</v>
      </c>
      <c r="N36" s="249">
        <f t="shared" si="2"/>
        <v>1517</v>
      </c>
    </row>
    <row r="37" spans="1:14" ht="15.75" thickBot="1">
      <c r="A37" s="6"/>
      <c r="B37" s="182"/>
      <c r="C37" s="182"/>
      <c r="D37" s="182"/>
      <c r="E37" s="182"/>
      <c r="F37" s="182"/>
      <c r="G37" s="182"/>
      <c r="H37" s="182"/>
      <c r="I37" s="182"/>
      <c r="J37" s="182"/>
      <c r="K37" s="182"/>
      <c r="L37" s="182"/>
      <c r="M37" s="182"/>
      <c r="N37" s="182"/>
    </row>
    <row r="38" spans="1:14" ht="15.75" thickBot="1">
      <c r="A38" s="116" t="s">
        <v>20</v>
      </c>
      <c r="B38" s="258"/>
      <c r="C38" s="258">
        <v>180</v>
      </c>
      <c r="D38" s="258"/>
      <c r="E38" s="258">
        <v>180</v>
      </c>
      <c r="F38" s="258"/>
      <c r="G38" s="258">
        <v>160</v>
      </c>
      <c r="H38" s="258"/>
      <c r="I38" s="258">
        <v>90</v>
      </c>
      <c r="J38" s="258"/>
      <c r="K38" s="258">
        <v>90</v>
      </c>
      <c r="L38" s="258"/>
      <c r="M38" s="258">
        <v>225</v>
      </c>
      <c r="N38" s="259">
        <f>SUM(B38:M38)</f>
        <v>925</v>
      </c>
    </row>
    <row r="39" spans="1:14" ht="15.75" thickBot="1">
      <c r="A39" s="6"/>
      <c r="B39" s="182"/>
      <c r="C39" s="182"/>
      <c r="D39" s="182"/>
      <c r="E39" s="182"/>
      <c r="F39" s="182"/>
      <c r="G39" s="182"/>
      <c r="H39" s="182"/>
      <c r="I39" s="182"/>
      <c r="J39" s="182"/>
      <c r="K39" s="182"/>
      <c r="L39" s="182"/>
      <c r="M39" s="182"/>
      <c r="N39" s="182"/>
    </row>
    <row r="40" spans="1:14" ht="15.75" thickBot="1">
      <c r="A40" s="134" t="s">
        <v>67</v>
      </c>
      <c r="B40" s="251">
        <f>B25+B36+B38</f>
        <v>9901</v>
      </c>
      <c r="C40" s="251">
        <f t="shared" ref="C40:N40" si="4">C25+C36+C38</f>
        <v>8000</v>
      </c>
      <c r="D40" s="251">
        <f t="shared" si="4"/>
        <v>9976</v>
      </c>
      <c r="E40" s="251">
        <f t="shared" si="4"/>
        <v>8301</v>
      </c>
      <c r="F40" s="251">
        <f t="shared" si="4"/>
        <v>5832</v>
      </c>
      <c r="G40" s="251">
        <f t="shared" si="4"/>
        <v>6591</v>
      </c>
      <c r="H40" s="251">
        <f t="shared" si="4"/>
        <v>6716</v>
      </c>
      <c r="I40" s="251">
        <f t="shared" si="4"/>
        <v>8851</v>
      </c>
      <c r="J40" s="251">
        <f t="shared" si="4"/>
        <v>10124</v>
      </c>
      <c r="K40" s="251">
        <f t="shared" si="4"/>
        <v>8963</v>
      </c>
      <c r="L40" s="251">
        <f t="shared" si="4"/>
        <v>10181</v>
      </c>
      <c r="M40" s="251">
        <f t="shared" si="4"/>
        <v>9947</v>
      </c>
      <c r="N40" s="251">
        <f t="shared" si="4"/>
        <v>103383</v>
      </c>
    </row>
    <row r="42" spans="1:14">
      <c r="A42" s="17" t="s">
        <v>127</v>
      </c>
    </row>
  </sheetData>
  <pageMargins left="0.7" right="0.7" top="0.75" bottom="0.75" header="0.3" footer="0.3"/>
  <pageSetup scale="7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N40"/>
  <sheetViews>
    <sheetView showGridLines="0" topLeftCell="A7" workbookViewId="0">
      <selection activeCell="N1" sqref="N1"/>
    </sheetView>
  </sheetViews>
  <sheetFormatPr defaultColWidth="8.85546875" defaultRowHeight="15"/>
  <cols>
    <col min="1" max="1" width="24.7109375" style="17" customWidth="1"/>
    <col min="2" max="16384" width="8.85546875" style="17"/>
  </cols>
  <sheetData>
    <row r="1" spans="1:14" ht="17.25" customHeight="1" thickBot="1">
      <c r="A1" s="116" t="s">
        <v>0</v>
      </c>
      <c r="B1" s="117">
        <v>41640</v>
      </c>
      <c r="C1" s="117">
        <v>41671</v>
      </c>
      <c r="D1" s="117">
        <v>41699</v>
      </c>
      <c r="E1" s="117">
        <v>41730</v>
      </c>
      <c r="F1" s="117">
        <v>41760</v>
      </c>
      <c r="G1" s="117">
        <v>41791</v>
      </c>
      <c r="H1" s="117">
        <v>41821</v>
      </c>
      <c r="I1" s="117">
        <v>41852</v>
      </c>
      <c r="J1" s="117">
        <v>41883</v>
      </c>
      <c r="K1" s="117">
        <v>41913</v>
      </c>
      <c r="L1" s="117">
        <v>41944</v>
      </c>
      <c r="M1" s="117">
        <v>41974</v>
      </c>
      <c r="N1" s="118"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c r="A4" s="138" t="s">
        <v>24</v>
      </c>
      <c r="B4" s="105">
        <v>840</v>
      </c>
      <c r="C4" s="105">
        <v>713</v>
      </c>
      <c r="D4" s="105">
        <v>870</v>
      </c>
      <c r="E4" s="105">
        <v>749</v>
      </c>
      <c r="F4" s="105">
        <v>576</v>
      </c>
      <c r="G4" s="105">
        <v>636</v>
      </c>
      <c r="H4" s="105">
        <v>544</v>
      </c>
      <c r="I4" s="105">
        <v>0</v>
      </c>
      <c r="J4" s="105">
        <v>652</v>
      </c>
      <c r="K4" s="105">
        <v>698</v>
      </c>
      <c r="L4" s="105">
        <v>694</v>
      </c>
      <c r="M4" s="105">
        <v>572</v>
      </c>
      <c r="N4" s="176">
        <f t="shared" ref="N4:N24" si="0">SUM(B4:M4)</f>
        <v>7544</v>
      </c>
    </row>
    <row r="5" spans="1:14">
      <c r="A5" s="139" t="s">
        <v>27</v>
      </c>
      <c r="B5" s="107">
        <v>70</v>
      </c>
      <c r="C5" s="107">
        <v>81</v>
      </c>
      <c r="D5" s="107">
        <v>78</v>
      </c>
      <c r="E5" s="107">
        <v>103</v>
      </c>
      <c r="F5" s="107">
        <v>83</v>
      </c>
      <c r="G5" s="107">
        <v>82</v>
      </c>
      <c r="H5" s="107">
        <v>83</v>
      </c>
      <c r="I5" s="107">
        <v>80</v>
      </c>
      <c r="J5" s="107">
        <v>78</v>
      </c>
      <c r="K5" s="107">
        <v>78</v>
      </c>
      <c r="L5" s="107">
        <v>80</v>
      </c>
      <c r="M5" s="107">
        <v>81</v>
      </c>
      <c r="N5" s="177">
        <f t="shared" si="0"/>
        <v>977</v>
      </c>
    </row>
    <row r="6" spans="1:14">
      <c r="A6" s="139" t="s">
        <v>115</v>
      </c>
      <c r="B6" s="107">
        <v>1383</v>
      </c>
      <c r="C6" s="107">
        <v>1662</v>
      </c>
      <c r="D6" s="107">
        <v>1355</v>
      </c>
      <c r="E6" s="107">
        <v>1608</v>
      </c>
      <c r="F6" s="107">
        <v>1485</v>
      </c>
      <c r="G6" s="107">
        <v>1821</v>
      </c>
      <c r="H6" s="107">
        <v>1767</v>
      </c>
      <c r="I6" s="107">
        <v>2013</v>
      </c>
      <c r="J6" s="107">
        <v>1671</v>
      </c>
      <c r="K6" s="107">
        <v>1510</v>
      </c>
      <c r="L6" s="107">
        <v>1319</v>
      </c>
      <c r="M6" s="107">
        <v>1302</v>
      </c>
      <c r="N6" s="177">
        <f t="shared" si="0"/>
        <v>18896</v>
      </c>
    </row>
    <row r="7" spans="1:14">
      <c r="A7" s="139" t="s">
        <v>116</v>
      </c>
      <c r="B7" s="107">
        <v>546</v>
      </c>
      <c r="C7" s="107">
        <v>230</v>
      </c>
      <c r="D7" s="107">
        <v>466</v>
      </c>
      <c r="E7" s="107">
        <v>290</v>
      </c>
      <c r="F7" s="107">
        <v>61</v>
      </c>
      <c r="G7" s="107">
        <v>125</v>
      </c>
      <c r="H7" s="107">
        <v>110</v>
      </c>
      <c r="I7" s="107">
        <v>424</v>
      </c>
      <c r="J7" s="107">
        <v>570</v>
      </c>
      <c r="K7" s="107">
        <v>419</v>
      </c>
      <c r="L7" s="107">
        <v>527</v>
      </c>
      <c r="M7" s="107">
        <v>273</v>
      </c>
      <c r="N7" s="177">
        <f t="shared" si="0"/>
        <v>4041</v>
      </c>
    </row>
    <row r="8" spans="1:14">
      <c r="A8" s="139" t="s">
        <v>28</v>
      </c>
      <c r="B8" s="107">
        <v>391</v>
      </c>
      <c r="C8" s="107">
        <v>471</v>
      </c>
      <c r="D8" s="107">
        <v>526</v>
      </c>
      <c r="E8" s="107">
        <v>1000</v>
      </c>
      <c r="F8" s="107">
        <v>251</v>
      </c>
      <c r="G8" s="107">
        <v>0</v>
      </c>
      <c r="H8" s="107">
        <v>0</v>
      </c>
      <c r="I8" s="107">
        <v>222</v>
      </c>
      <c r="J8" s="107">
        <v>454</v>
      </c>
      <c r="K8" s="107">
        <v>466</v>
      </c>
      <c r="L8" s="107">
        <v>513</v>
      </c>
      <c r="M8" s="107">
        <v>353</v>
      </c>
      <c r="N8" s="177">
        <f t="shared" ref="N8:N13" si="1">SUM(B8:M8)</f>
        <v>4647</v>
      </c>
    </row>
    <row r="9" spans="1:14">
      <c r="A9" s="139" t="s">
        <v>81</v>
      </c>
      <c r="B9" s="107">
        <f>1071+142</f>
        <v>1213</v>
      </c>
      <c r="C9" s="107">
        <f>977+112</f>
        <v>1089</v>
      </c>
      <c r="D9" s="107">
        <f>1115+134</f>
        <v>1249</v>
      </c>
      <c r="E9" s="107">
        <f>805+47</f>
        <v>852</v>
      </c>
      <c r="F9" s="107">
        <f>444+27</f>
        <v>471</v>
      </c>
      <c r="G9" s="107">
        <f>1549+54</f>
        <v>1603</v>
      </c>
      <c r="H9" s="107">
        <f>767+58</f>
        <v>825</v>
      </c>
      <c r="I9" s="107">
        <f>908+116</f>
        <v>1024</v>
      </c>
      <c r="J9" s="107">
        <f>1231+213</f>
        <v>1444</v>
      </c>
      <c r="K9" s="107">
        <f>975+105</f>
        <v>1080</v>
      </c>
      <c r="L9" s="107">
        <f>1215+125</f>
        <v>1340</v>
      </c>
      <c r="M9" s="107">
        <f>735+19</f>
        <v>754</v>
      </c>
      <c r="N9" s="177">
        <f t="shared" si="1"/>
        <v>12944</v>
      </c>
    </row>
    <row r="10" spans="1:14">
      <c r="A10" s="139" t="s">
        <v>117</v>
      </c>
      <c r="B10" s="107">
        <v>391</v>
      </c>
      <c r="C10" s="107">
        <v>365</v>
      </c>
      <c r="D10" s="107">
        <v>456</v>
      </c>
      <c r="E10" s="107">
        <v>212</v>
      </c>
      <c r="F10" s="107">
        <v>109</v>
      </c>
      <c r="G10" s="107">
        <v>140</v>
      </c>
      <c r="H10" s="107">
        <v>56</v>
      </c>
      <c r="I10" s="107">
        <v>210</v>
      </c>
      <c r="J10" s="107">
        <v>416</v>
      </c>
      <c r="K10" s="107">
        <v>290</v>
      </c>
      <c r="L10" s="107">
        <v>367</v>
      </c>
      <c r="M10" s="107">
        <v>178</v>
      </c>
      <c r="N10" s="177">
        <f t="shared" si="1"/>
        <v>3190</v>
      </c>
    </row>
    <row r="11" spans="1:14">
      <c r="A11" s="139" t="s">
        <v>33</v>
      </c>
      <c r="B11" s="107">
        <v>0</v>
      </c>
      <c r="C11" s="107">
        <v>0</v>
      </c>
      <c r="D11" s="107">
        <v>0</v>
      </c>
      <c r="E11" s="107">
        <v>0</v>
      </c>
      <c r="F11" s="107">
        <v>0</v>
      </c>
      <c r="G11" s="107">
        <v>0</v>
      </c>
      <c r="H11" s="107">
        <v>0</v>
      </c>
      <c r="I11" s="107">
        <v>0</v>
      </c>
      <c r="J11" s="107">
        <v>0</v>
      </c>
      <c r="K11" s="107">
        <v>0</v>
      </c>
      <c r="L11" s="107">
        <v>0</v>
      </c>
      <c r="M11" s="107">
        <v>0</v>
      </c>
      <c r="N11" s="177">
        <f t="shared" si="1"/>
        <v>0</v>
      </c>
    </row>
    <row r="12" spans="1:14">
      <c r="A12" s="139" t="s">
        <v>118</v>
      </c>
      <c r="B12" s="107">
        <v>10</v>
      </c>
      <c r="C12" s="107">
        <v>8</v>
      </c>
      <c r="D12" s="107">
        <v>10</v>
      </c>
      <c r="E12" s="107">
        <v>6</v>
      </c>
      <c r="F12" s="107">
        <v>8</v>
      </c>
      <c r="G12" s="107">
        <v>8</v>
      </c>
      <c r="H12" s="107">
        <v>9</v>
      </c>
      <c r="I12" s="107">
        <v>6</v>
      </c>
      <c r="J12" s="107">
        <v>9</v>
      </c>
      <c r="K12" s="107">
        <v>10</v>
      </c>
      <c r="L12" s="107">
        <v>10</v>
      </c>
      <c r="M12" s="107">
        <v>5</v>
      </c>
      <c r="N12" s="177">
        <f t="shared" si="1"/>
        <v>99</v>
      </c>
    </row>
    <row r="13" spans="1:14">
      <c r="A13" s="139" t="s">
        <v>76</v>
      </c>
      <c r="B13" s="107">
        <v>601</v>
      </c>
      <c r="C13" s="107">
        <v>464</v>
      </c>
      <c r="D13" s="107">
        <v>483</v>
      </c>
      <c r="E13" s="107">
        <v>433</v>
      </c>
      <c r="F13" s="107">
        <v>547</v>
      </c>
      <c r="G13" s="107">
        <v>635</v>
      </c>
      <c r="H13" s="107">
        <v>651</v>
      </c>
      <c r="I13" s="107">
        <v>669</v>
      </c>
      <c r="J13" s="107">
        <v>489</v>
      </c>
      <c r="K13" s="107">
        <v>412</v>
      </c>
      <c r="L13" s="107">
        <v>422</v>
      </c>
      <c r="M13" s="107">
        <v>261</v>
      </c>
      <c r="N13" s="177">
        <f t="shared" si="1"/>
        <v>6067</v>
      </c>
    </row>
    <row r="14" spans="1:14">
      <c r="A14" s="139" t="s">
        <v>29</v>
      </c>
      <c r="B14" s="107">
        <v>369</v>
      </c>
      <c r="C14" s="107">
        <v>417</v>
      </c>
      <c r="D14" s="107">
        <v>450</v>
      </c>
      <c r="E14" s="107">
        <v>428</v>
      </c>
      <c r="F14" s="107">
        <v>470</v>
      </c>
      <c r="G14" s="107">
        <v>645</v>
      </c>
      <c r="H14" s="107">
        <v>642</v>
      </c>
      <c r="I14" s="107">
        <v>656</v>
      </c>
      <c r="J14" s="107">
        <v>497</v>
      </c>
      <c r="K14" s="107">
        <v>511</v>
      </c>
      <c r="L14" s="107">
        <v>454</v>
      </c>
      <c r="M14" s="107">
        <v>381</v>
      </c>
      <c r="N14" s="177">
        <f t="shared" si="0"/>
        <v>5920</v>
      </c>
    </row>
    <row r="15" spans="1:14">
      <c r="A15" s="3" t="s">
        <v>34</v>
      </c>
      <c r="B15" s="107">
        <v>0</v>
      </c>
      <c r="C15" s="107">
        <v>0</v>
      </c>
      <c r="D15" s="107">
        <v>0</v>
      </c>
      <c r="E15" s="107">
        <v>0</v>
      </c>
      <c r="F15" s="107">
        <v>0</v>
      </c>
      <c r="G15" s="107">
        <v>0</v>
      </c>
      <c r="H15" s="107">
        <v>0</v>
      </c>
      <c r="I15" s="107">
        <v>0</v>
      </c>
      <c r="J15" s="107">
        <v>0</v>
      </c>
      <c r="K15" s="107">
        <v>0</v>
      </c>
      <c r="L15" s="107">
        <v>0</v>
      </c>
      <c r="M15" s="107">
        <v>0</v>
      </c>
      <c r="N15" s="177">
        <f>SUM(B15:M15)</f>
        <v>0</v>
      </c>
    </row>
    <row r="16" spans="1:14">
      <c r="A16" s="139" t="s">
        <v>119</v>
      </c>
      <c r="B16" s="107">
        <v>1</v>
      </c>
      <c r="C16" s="107">
        <v>0</v>
      </c>
      <c r="D16" s="107">
        <v>1</v>
      </c>
      <c r="E16" s="107">
        <v>2</v>
      </c>
      <c r="F16" s="107">
        <v>4</v>
      </c>
      <c r="G16" s="107">
        <v>5</v>
      </c>
      <c r="H16" s="107">
        <v>16</v>
      </c>
      <c r="I16" s="107">
        <v>1</v>
      </c>
      <c r="J16" s="107">
        <v>2</v>
      </c>
      <c r="K16" s="107">
        <v>8</v>
      </c>
      <c r="L16" s="107">
        <v>2</v>
      </c>
      <c r="M16" s="107">
        <v>1</v>
      </c>
      <c r="N16" s="177">
        <f t="shared" si="0"/>
        <v>43</v>
      </c>
    </row>
    <row r="17" spans="1:14">
      <c r="A17" s="139" t="s">
        <v>2</v>
      </c>
      <c r="B17" s="107">
        <v>106</v>
      </c>
      <c r="C17" s="107">
        <v>118</v>
      </c>
      <c r="D17" s="107">
        <v>117</v>
      </c>
      <c r="E17" s="107">
        <v>106</v>
      </c>
      <c r="F17" s="107">
        <v>125</v>
      </c>
      <c r="G17" s="107">
        <v>109</v>
      </c>
      <c r="H17" s="107">
        <v>125</v>
      </c>
      <c r="I17" s="107">
        <f>75+54</f>
        <v>129</v>
      </c>
      <c r="J17" s="107">
        <v>296</v>
      </c>
      <c r="K17" s="107">
        <v>118</v>
      </c>
      <c r="L17" s="107">
        <v>94</v>
      </c>
      <c r="M17" s="107">
        <v>58</v>
      </c>
      <c r="N17" s="177">
        <f t="shared" si="0"/>
        <v>1501</v>
      </c>
    </row>
    <row r="18" spans="1:14">
      <c r="A18" s="139" t="s">
        <v>30</v>
      </c>
      <c r="B18" s="107">
        <v>0</v>
      </c>
      <c r="C18" s="107">
        <v>0</v>
      </c>
      <c r="D18" s="107">
        <v>0</v>
      </c>
      <c r="E18" s="107">
        <v>0</v>
      </c>
      <c r="F18" s="107">
        <v>0</v>
      </c>
      <c r="G18" s="107">
        <v>0</v>
      </c>
      <c r="H18" s="107">
        <v>0</v>
      </c>
      <c r="I18" s="107">
        <v>0</v>
      </c>
      <c r="J18" s="107">
        <v>0</v>
      </c>
      <c r="K18" s="107">
        <v>0</v>
      </c>
      <c r="L18" s="107">
        <v>0</v>
      </c>
      <c r="M18" s="107">
        <v>0</v>
      </c>
      <c r="N18" s="177">
        <f t="shared" si="0"/>
        <v>0</v>
      </c>
    </row>
    <row r="19" spans="1:14">
      <c r="A19" s="139" t="s">
        <v>120</v>
      </c>
      <c r="B19" s="107">
        <v>563</v>
      </c>
      <c r="C19" s="107">
        <v>547</v>
      </c>
      <c r="D19" s="107">
        <v>600</v>
      </c>
      <c r="E19" s="107">
        <v>522</v>
      </c>
      <c r="F19" s="107">
        <v>383</v>
      </c>
      <c r="G19" s="107">
        <v>187</v>
      </c>
      <c r="H19" s="107">
        <v>89</v>
      </c>
      <c r="I19" s="107">
        <v>349</v>
      </c>
      <c r="J19" s="107">
        <v>487</v>
      </c>
      <c r="K19" s="107">
        <v>355</v>
      </c>
      <c r="L19" s="107">
        <v>414</v>
      </c>
      <c r="M19" s="107">
        <v>281</v>
      </c>
      <c r="N19" s="177">
        <f t="shared" si="0"/>
        <v>4777</v>
      </c>
    </row>
    <row r="20" spans="1:14" ht="30">
      <c r="A20" s="139" t="s">
        <v>122</v>
      </c>
      <c r="B20" s="107">
        <v>333</v>
      </c>
      <c r="C20" s="107">
        <v>1404</v>
      </c>
      <c r="D20" s="107">
        <v>985</v>
      </c>
      <c r="E20" s="107">
        <v>620</v>
      </c>
      <c r="F20" s="107">
        <v>201</v>
      </c>
      <c r="G20" s="107">
        <v>226</v>
      </c>
      <c r="H20" s="107">
        <v>103</v>
      </c>
      <c r="I20" s="107">
        <v>547</v>
      </c>
      <c r="J20" s="107">
        <v>878</v>
      </c>
      <c r="K20" s="107">
        <v>768</v>
      </c>
      <c r="L20" s="107">
        <v>932</v>
      </c>
      <c r="M20" s="107">
        <v>680</v>
      </c>
      <c r="N20" s="177">
        <f t="shared" si="0"/>
        <v>7677</v>
      </c>
    </row>
    <row r="21" spans="1:14" ht="30">
      <c r="A21" s="139" t="s">
        <v>121</v>
      </c>
      <c r="B21" s="107">
        <v>1281</v>
      </c>
      <c r="C21" s="107">
        <v>73</v>
      </c>
      <c r="D21" s="107">
        <v>759</v>
      </c>
      <c r="E21" s="107">
        <v>409</v>
      </c>
      <c r="F21" s="107">
        <v>47</v>
      </c>
      <c r="G21" s="107">
        <v>43</v>
      </c>
      <c r="H21" s="107">
        <v>44</v>
      </c>
      <c r="I21" s="107">
        <v>242</v>
      </c>
      <c r="J21" s="107">
        <v>686</v>
      </c>
      <c r="K21" s="107">
        <v>570</v>
      </c>
      <c r="L21" s="107">
        <v>670</v>
      </c>
      <c r="M21" s="107">
        <v>328</v>
      </c>
      <c r="N21" s="177">
        <f t="shared" si="0"/>
        <v>5152</v>
      </c>
    </row>
    <row r="22" spans="1:14">
      <c r="A22" s="139" t="s">
        <v>31</v>
      </c>
      <c r="B22" s="107">
        <v>860</v>
      </c>
      <c r="C22" s="107">
        <v>896</v>
      </c>
      <c r="D22" s="107">
        <v>897</v>
      </c>
      <c r="E22" s="107">
        <v>780</v>
      </c>
      <c r="F22" s="107">
        <v>593</v>
      </c>
      <c r="G22" s="107">
        <v>600</v>
      </c>
      <c r="H22" s="107">
        <v>443</v>
      </c>
      <c r="I22" s="107">
        <v>606</v>
      </c>
      <c r="J22" s="107">
        <v>785</v>
      </c>
      <c r="K22" s="107">
        <v>729</v>
      </c>
      <c r="L22" s="107">
        <v>780</v>
      </c>
      <c r="M22" s="107">
        <v>468</v>
      </c>
      <c r="N22" s="177">
        <f t="shared" si="0"/>
        <v>8437</v>
      </c>
    </row>
    <row r="23" spans="1:14">
      <c r="A23" s="139" t="s">
        <v>123</v>
      </c>
      <c r="B23" s="107">
        <v>162</v>
      </c>
      <c r="C23" s="107">
        <v>178</v>
      </c>
      <c r="D23" s="107">
        <v>154</v>
      </c>
      <c r="E23" s="107">
        <v>126</v>
      </c>
      <c r="F23" s="107">
        <v>141</v>
      </c>
      <c r="G23" s="107">
        <v>140</v>
      </c>
      <c r="H23" s="107">
        <v>133</v>
      </c>
      <c r="I23" s="107">
        <v>145</v>
      </c>
      <c r="J23" s="107">
        <v>132</v>
      </c>
      <c r="K23" s="107">
        <v>133</v>
      </c>
      <c r="L23" s="107">
        <v>123</v>
      </c>
      <c r="M23" s="107">
        <v>77</v>
      </c>
      <c r="N23" s="177">
        <f t="shared" si="0"/>
        <v>1644</v>
      </c>
    </row>
    <row r="24" spans="1:14" ht="15.75" thickBot="1">
      <c r="A24" s="139" t="s">
        <v>23</v>
      </c>
      <c r="B24" s="156">
        <v>106</v>
      </c>
      <c r="C24" s="156">
        <v>120</v>
      </c>
      <c r="D24" s="156">
        <v>87</v>
      </c>
      <c r="E24" s="156">
        <v>70</v>
      </c>
      <c r="F24" s="156">
        <v>248</v>
      </c>
      <c r="G24" s="156">
        <v>126</v>
      </c>
      <c r="H24" s="156">
        <v>174</v>
      </c>
      <c r="I24" s="156">
        <v>156</v>
      </c>
      <c r="J24" s="156">
        <v>135</v>
      </c>
      <c r="K24" s="156">
        <v>140</v>
      </c>
      <c r="L24" s="156">
        <v>249</v>
      </c>
      <c r="M24" s="156">
        <v>64</v>
      </c>
      <c r="N24" s="180">
        <f t="shared" si="0"/>
        <v>1675</v>
      </c>
    </row>
    <row r="25" spans="1:14" ht="16.5" thickTop="1" thickBot="1">
      <c r="A25" s="140" t="s">
        <v>45</v>
      </c>
      <c r="B25" s="248">
        <f>SUM(B4:B24)</f>
        <v>9226</v>
      </c>
      <c r="C25" s="248">
        <f t="shared" ref="C25:N25" si="2">SUM(C4:C24)</f>
        <v>8836</v>
      </c>
      <c r="D25" s="248">
        <f t="shared" si="2"/>
        <v>9543</v>
      </c>
      <c r="E25" s="248">
        <f t="shared" si="2"/>
        <v>8316</v>
      </c>
      <c r="F25" s="248">
        <f t="shared" si="2"/>
        <v>5803</v>
      </c>
      <c r="G25" s="248">
        <f t="shared" si="2"/>
        <v>7131</v>
      </c>
      <c r="H25" s="248">
        <f t="shared" si="2"/>
        <v>5814</v>
      </c>
      <c r="I25" s="248">
        <f t="shared" si="2"/>
        <v>7479</v>
      </c>
      <c r="J25" s="248">
        <f t="shared" si="2"/>
        <v>9681</v>
      </c>
      <c r="K25" s="248">
        <f t="shared" si="2"/>
        <v>8295</v>
      </c>
      <c r="L25" s="248">
        <f t="shared" si="2"/>
        <v>8990</v>
      </c>
      <c r="M25" s="248">
        <f t="shared" si="2"/>
        <v>6117</v>
      </c>
      <c r="N25" s="248">
        <f t="shared" si="2"/>
        <v>95231</v>
      </c>
    </row>
    <row r="26" spans="1:14">
      <c r="A26" s="6"/>
      <c r="B26" s="182"/>
      <c r="C26" s="182"/>
      <c r="D26" s="182"/>
      <c r="E26" s="182"/>
      <c r="F26" s="182"/>
      <c r="G26" s="182"/>
      <c r="H26" s="182"/>
      <c r="I26" s="182"/>
      <c r="J26" s="182"/>
      <c r="K26" s="182"/>
      <c r="L26" s="182"/>
      <c r="M26" s="182"/>
      <c r="N26" s="182"/>
    </row>
    <row r="27" spans="1:14" ht="15.75" thickBot="1">
      <c r="A27" s="6" t="s">
        <v>8</v>
      </c>
      <c r="B27" s="182"/>
      <c r="C27" s="182"/>
      <c r="D27" s="182"/>
      <c r="E27" s="182"/>
      <c r="F27" s="182"/>
      <c r="G27" s="182"/>
      <c r="H27" s="182"/>
      <c r="I27" s="182"/>
      <c r="J27" s="182"/>
      <c r="K27" s="182"/>
      <c r="L27" s="182"/>
      <c r="M27" s="182"/>
      <c r="N27" s="182"/>
    </row>
    <row r="28" spans="1:14">
      <c r="A28" s="136" t="s">
        <v>105</v>
      </c>
      <c r="B28" s="105">
        <v>2</v>
      </c>
      <c r="C28" s="105">
        <v>5</v>
      </c>
      <c r="D28" s="105">
        <v>3</v>
      </c>
      <c r="E28" s="105">
        <v>3</v>
      </c>
      <c r="F28" s="105">
        <v>5</v>
      </c>
      <c r="G28" s="105">
        <v>1</v>
      </c>
      <c r="H28" s="105">
        <v>1</v>
      </c>
      <c r="I28" s="105">
        <v>3</v>
      </c>
      <c r="J28" s="105">
        <v>9</v>
      </c>
      <c r="K28" s="105">
        <v>8</v>
      </c>
      <c r="L28" s="105">
        <v>10</v>
      </c>
      <c r="M28" s="105">
        <v>0</v>
      </c>
      <c r="N28" s="176">
        <f t="shared" ref="N28:N34" si="3">SUM(B28:M28)</f>
        <v>50</v>
      </c>
    </row>
    <row r="29" spans="1:14">
      <c r="A29" s="13" t="s">
        <v>85</v>
      </c>
      <c r="B29" s="107">
        <v>6</v>
      </c>
      <c r="C29" s="107">
        <v>10</v>
      </c>
      <c r="D29" s="107">
        <v>8</v>
      </c>
      <c r="E29" s="107">
        <v>9</v>
      </c>
      <c r="F29" s="107">
        <v>5</v>
      </c>
      <c r="G29" s="107">
        <v>3</v>
      </c>
      <c r="H29" s="107">
        <v>5</v>
      </c>
      <c r="I29" s="107">
        <v>6</v>
      </c>
      <c r="J29" s="107">
        <v>7</v>
      </c>
      <c r="K29" s="107">
        <v>11</v>
      </c>
      <c r="L29" s="107">
        <v>8</v>
      </c>
      <c r="M29" s="107">
        <v>5</v>
      </c>
      <c r="N29" s="177">
        <f t="shared" si="3"/>
        <v>83</v>
      </c>
    </row>
    <row r="30" spans="1:14">
      <c r="A30" s="13" t="s">
        <v>106</v>
      </c>
      <c r="B30" s="107">
        <v>1</v>
      </c>
      <c r="C30" s="107">
        <v>2</v>
      </c>
      <c r="D30" s="107">
        <v>2</v>
      </c>
      <c r="E30" s="107">
        <v>2</v>
      </c>
      <c r="F30" s="107">
        <v>1</v>
      </c>
      <c r="G30" s="107">
        <v>1</v>
      </c>
      <c r="H30" s="107">
        <v>1</v>
      </c>
      <c r="I30" s="107">
        <v>0</v>
      </c>
      <c r="J30" s="107">
        <v>2</v>
      </c>
      <c r="K30" s="107">
        <v>2</v>
      </c>
      <c r="L30" s="107">
        <v>3</v>
      </c>
      <c r="M30" s="107">
        <v>0</v>
      </c>
      <c r="N30" s="177">
        <f>SUM(B30:M30)</f>
        <v>17</v>
      </c>
    </row>
    <row r="31" spans="1:14">
      <c r="A31" s="13" t="s">
        <v>107</v>
      </c>
      <c r="B31" s="107">
        <v>77</v>
      </c>
      <c r="C31" s="107">
        <v>102</v>
      </c>
      <c r="D31" s="107">
        <v>87</v>
      </c>
      <c r="E31" s="107">
        <v>92</v>
      </c>
      <c r="F31" s="107">
        <v>118</v>
      </c>
      <c r="G31" s="107">
        <v>110</v>
      </c>
      <c r="H31" s="107">
        <v>73</v>
      </c>
      <c r="I31" s="107">
        <v>109</v>
      </c>
      <c r="J31" s="107">
        <v>270</v>
      </c>
      <c r="K31" s="107">
        <v>241</v>
      </c>
      <c r="L31" s="107">
        <v>94</v>
      </c>
      <c r="M31" s="107">
        <v>73</v>
      </c>
      <c r="N31" s="177">
        <f t="shared" si="3"/>
        <v>1446</v>
      </c>
    </row>
    <row r="32" spans="1:14">
      <c r="A32" s="13" t="s">
        <v>108</v>
      </c>
      <c r="B32" s="107">
        <v>56</v>
      </c>
      <c r="C32" s="107">
        <v>16</v>
      </c>
      <c r="D32" s="107">
        <v>12</v>
      </c>
      <c r="E32" s="107">
        <v>10</v>
      </c>
      <c r="F32" s="107">
        <v>16</v>
      </c>
      <c r="G32" s="107">
        <v>4</v>
      </c>
      <c r="H32" s="107">
        <v>7</v>
      </c>
      <c r="I32" s="107">
        <v>7</v>
      </c>
      <c r="J32" s="107">
        <v>9</v>
      </c>
      <c r="K32" s="107">
        <v>9</v>
      </c>
      <c r="L32" s="107">
        <v>13</v>
      </c>
      <c r="M32" s="107">
        <v>9</v>
      </c>
      <c r="N32" s="177">
        <f t="shared" si="3"/>
        <v>168</v>
      </c>
    </row>
    <row r="33" spans="1:14">
      <c r="A33" s="13" t="s">
        <v>87</v>
      </c>
      <c r="B33" s="107">
        <v>7</v>
      </c>
      <c r="C33" s="107">
        <v>200</v>
      </c>
      <c r="D33" s="107">
        <v>21</v>
      </c>
      <c r="E33" s="107">
        <v>19</v>
      </c>
      <c r="F33" s="107">
        <v>8</v>
      </c>
      <c r="G33" s="107">
        <v>3</v>
      </c>
      <c r="H33" s="107">
        <v>2</v>
      </c>
      <c r="I33" s="107">
        <v>5</v>
      </c>
      <c r="J33" s="107">
        <v>8</v>
      </c>
      <c r="K33" s="107">
        <v>11</v>
      </c>
      <c r="L33" s="107">
        <v>11</v>
      </c>
      <c r="M33" s="107">
        <v>5</v>
      </c>
      <c r="N33" s="177">
        <f t="shared" si="3"/>
        <v>300</v>
      </c>
    </row>
    <row r="34" spans="1:14">
      <c r="A34" s="13" t="s">
        <v>88</v>
      </c>
      <c r="B34" s="107">
        <v>1</v>
      </c>
      <c r="C34" s="107">
        <v>3</v>
      </c>
      <c r="D34" s="107">
        <v>4</v>
      </c>
      <c r="E34" s="107">
        <v>4</v>
      </c>
      <c r="F34" s="107">
        <v>3</v>
      </c>
      <c r="G34" s="107">
        <v>2</v>
      </c>
      <c r="H34" s="107">
        <v>2</v>
      </c>
      <c r="I34" s="107">
        <v>2</v>
      </c>
      <c r="J34" s="107">
        <v>9</v>
      </c>
      <c r="K34" s="107">
        <v>4</v>
      </c>
      <c r="L34" s="107">
        <v>4</v>
      </c>
      <c r="M34" s="107">
        <v>8</v>
      </c>
      <c r="N34" s="177">
        <f t="shared" si="3"/>
        <v>46</v>
      </c>
    </row>
    <row r="35" spans="1:14" ht="15.75" thickBot="1">
      <c r="A35" s="13" t="s">
        <v>109</v>
      </c>
      <c r="B35" s="156" t="s">
        <v>104</v>
      </c>
      <c r="C35" s="156" t="s">
        <v>104</v>
      </c>
      <c r="D35" s="156" t="s">
        <v>104</v>
      </c>
      <c r="E35" s="156" t="s">
        <v>104</v>
      </c>
      <c r="F35" s="156" t="s">
        <v>104</v>
      </c>
      <c r="G35" s="156" t="s">
        <v>104</v>
      </c>
      <c r="H35" s="156" t="s">
        <v>104</v>
      </c>
      <c r="I35" s="156" t="s">
        <v>104</v>
      </c>
      <c r="J35" s="156" t="s">
        <v>104</v>
      </c>
      <c r="K35" s="156" t="s">
        <v>104</v>
      </c>
      <c r="L35" s="156" t="s">
        <v>104</v>
      </c>
      <c r="M35" s="156" t="s">
        <v>104</v>
      </c>
      <c r="N35" s="180" t="s">
        <v>42</v>
      </c>
    </row>
    <row r="36" spans="1:14" ht="16.5" thickTop="1" thickBot="1">
      <c r="A36" s="140" t="s">
        <v>46</v>
      </c>
      <c r="B36" s="250">
        <f t="shared" ref="B36:M36" si="4">SUM(B28:B35)</f>
        <v>150</v>
      </c>
      <c r="C36" s="250">
        <f t="shared" si="4"/>
        <v>338</v>
      </c>
      <c r="D36" s="250">
        <f t="shared" si="4"/>
        <v>137</v>
      </c>
      <c r="E36" s="250">
        <f t="shared" si="4"/>
        <v>139</v>
      </c>
      <c r="F36" s="250">
        <f t="shared" si="4"/>
        <v>156</v>
      </c>
      <c r="G36" s="250">
        <f t="shared" si="4"/>
        <v>124</v>
      </c>
      <c r="H36" s="250">
        <f t="shared" si="4"/>
        <v>91</v>
      </c>
      <c r="I36" s="250">
        <f t="shared" si="4"/>
        <v>132</v>
      </c>
      <c r="J36" s="250">
        <f t="shared" si="4"/>
        <v>314</v>
      </c>
      <c r="K36" s="250">
        <f t="shared" si="4"/>
        <v>286</v>
      </c>
      <c r="L36" s="250">
        <f t="shared" si="4"/>
        <v>143</v>
      </c>
      <c r="M36" s="250">
        <f t="shared" si="4"/>
        <v>100</v>
      </c>
      <c r="N36" s="249">
        <f t="shared" ref="N36" si="5">SUM(B36:M36)</f>
        <v>2110</v>
      </c>
    </row>
    <row r="37" spans="1:14" ht="15.75" thickBot="1">
      <c r="A37" s="6"/>
      <c r="B37" s="204"/>
      <c r="C37" s="204"/>
      <c r="D37" s="204"/>
      <c r="E37" s="204"/>
      <c r="F37" s="204"/>
      <c r="G37" s="204"/>
      <c r="H37" s="204"/>
      <c r="I37" s="204"/>
      <c r="J37" s="204"/>
      <c r="K37" s="204"/>
      <c r="L37" s="204"/>
      <c r="M37" s="204"/>
      <c r="N37" s="182"/>
    </row>
    <row r="38" spans="1:14" ht="15.75" thickBot="1">
      <c r="A38" s="116" t="s">
        <v>20</v>
      </c>
      <c r="B38" s="288"/>
      <c r="C38" s="288">
        <v>155</v>
      </c>
      <c r="D38" s="288"/>
      <c r="E38" s="288">
        <v>195</v>
      </c>
      <c r="F38" s="288"/>
      <c r="G38" s="288">
        <v>205</v>
      </c>
      <c r="H38" s="288"/>
      <c r="I38" s="288">
        <v>100</v>
      </c>
      <c r="J38" s="288"/>
      <c r="K38" s="288">
        <v>90</v>
      </c>
      <c r="L38" s="288"/>
      <c r="M38" s="288">
        <v>163</v>
      </c>
      <c r="N38" s="259">
        <f>SUM(B38:L38)</f>
        <v>745</v>
      </c>
    </row>
    <row r="39" spans="1:14" ht="15.75" thickBot="1">
      <c r="A39" s="6"/>
      <c r="B39" s="159"/>
      <c r="C39" s="159"/>
      <c r="D39" s="159"/>
      <c r="E39" s="159"/>
      <c r="F39" s="159"/>
      <c r="G39" s="159"/>
      <c r="H39" s="159"/>
      <c r="I39" s="159"/>
      <c r="J39" s="159"/>
      <c r="K39" s="159"/>
      <c r="L39" s="159"/>
      <c r="M39" s="159"/>
      <c r="N39" s="183"/>
    </row>
    <row r="40" spans="1:14" ht="15.75" thickBot="1">
      <c r="A40" s="134" t="s">
        <v>67</v>
      </c>
      <c r="B40" s="251">
        <f>B25+B36+B38</f>
        <v>9376</v>
      </c>
      <c r="C40" s="251">
        <f t="shared" ref="C40:N40" si="6">C25+C36+C38</f>
        <v>9329</v>
      </c>
      <c r="D40" s="251">
        <f t="shared" si="6"/>
        <v>9680</v>
      </c>
      <c r="E40" s="251">
        <f t="shared" si="6"/>
        <v>8650</v>
      </c>
      <c r="F40" s="251">
        <f t="shared" si="6"/>
        <v>5959</v>
      </c>
      <c r="G40" s="251">
        <f t="shared" si="6"/>
        <v>7460</v>
      </c>
      <c r="H40" s="251">
        <f t="shared" si="6"/>
        <v>5905</v>
      </c>
      <c r="I40" s="251">
        <f t="shared" si="6"/>
        <v>7711</v>
      </c>
      <c r="J40" s="251">
        <f t="shared" si="6"/>
        <v>9995</v>
      </c>
      <c r="K40" s="251">
        <f t="shared" si="6"/>
        <v>8671</v>
      </c>
      <c r="L40" s="251">
        <f t="shared" si="6"/>
        <v>9133</v>
      </c>
      <c r="M40" s="251">
        <f t="shared" si="6"/>
        <v>6380</v>
      </c>
      <c r="N40" s="251">
        <f t="shared" si="6"/>
        <v>98086</v>
      </c>
    </row>
  </sheetData>
  <pageMargins left="0.7" right="0.7" top="0.75" bottom="0.75" header="0.3" footer="0.3"/>
  <pageSetup scale="85"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N40"/>
  <sheetViews>
    <sheetView showGridLines="0" workbookViewId="0">
      <selection activeCell="N1" sqref="N1"/>
    </sheetView>
  </sheetViews>
  <sheetFormatPr defaultColWidth="8.85546875" defaultRowHeight="15"/>
  <cols>
    <col min="1" max="1" width="26.140625" style="17" customWidth="1"/>
    <col min="2" max="13" width="9.28515625" style="17" bestFit="1" customWidth="1"/>
    <col min="14" max="14" width="9.7109375" style="17" bestFit="1" customWidth="1"/>
    <col min="15" max="16384" width="8.85546875" style="17"/>
  </cols>
  <sheetData>
    <row r="1" spans="1:14" ht="17.25" thickBot="1">
      <c r="A1" s="116" t="s">
        <v>0</v>
      </c>
      <c r="B1" s="117">
        <v>42005</v>
      </c>
      <c r="C1" s="117">
        <v>42036</v>
      </c>
      <c r="D1" s="117">
        <v>42064</v>
      </c>
      <c r="E1" s="117">
        <v>42095</v>
      </c>
      <c r="F1" s="117">
        <v>42125</v>
      </c>
      <c r="G1" s="117">
        <v>42156</v>
      </c>
      <c r="H1" s="117">
        <v>42186</v>
      </c>
      <c r="I1" s="117">
        <v>42217</v>
      </c>
      <c r="J1" s="117">
        <v>42248</v>
      </c>
      <c r="K1" s="117">
        <v>42278</v>
      </c>
      <c r="L1" s="117">
        <v>42309</v>
      </c>
      <c r="M1" s="117">
        <v>42339</v>
      </c>
      <c r="N1" s="118"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c r="A4" s="139" t="s">
        <v>24</v>
      </c>
      <c r="B4" s="105">
        <v>845</v>
      </c>
      <c r="C4" s="105">
        <v>648</v>
      </c>
      <c r="D4" s="105">
        <v>723</v>
      </c>
      <c r="E4" s="105">
        <v>626</v>
      </c>
      <c r="F4" s="105">
        <v>486</v>
      </c>
      <c r="G4" s="105">
        <v>463</v>
      </c>
      <c r="H4" s="105">
        <v>516</v>
      </c>
      <c r="I4" s="105">
        <v>1138</v>
      </c>
      <c r="J4" s="105">
        <v>647</v>
      </c>
      <c r="K4" s="105">
        <v>823</v>
      </c>
      <c r="L4" s="105">
        <v>653</v>
      </c>
      <c r="M4" s="105">
        <v>578</v>
      </c>
      <c r="N4" s="176">
        <f>SUM(B4:M4)</f>
        <v>8146</v>
      </c>
    </row>
    <row r="5" spans="1:14">
      <c r="A5" s="139" t="s">
        <v>27</v>
      </c>
      <c r="B5" s="107">
        <v>89</v>
      </c>
      <c r="C5" s="107">
        <v>69</v>
      </c>
      <c r="D5" s="107">
        <v>84</v>
      </c>
      <c r="E5" s="107">
        <v>74</v>
      </c>
      <c r="F5" s="107">
        <v>86</v>
      </c>
      <c r="G5" s="107">
        <v>85</v>
      </c>
      <c r="H5" s="107">
        <v>90</v>
      </c>
      <c r="I5" s="107">
        <v>201</v>
      </c>
      <c r="J5" s="107">
        <v>338</v>
      </c>
      <c r="K5" s="107">
        <v>401</v>
      </c>
      <c r="L5" s="107">
        <v>225</v>
      </c>
      <c r="M5" s="107">
        <v>73</v>
      </c>
      <c r="N5" s="177">
        <f t="shared" ref="N5:N25" si="0">SUM(B5:M5)</f>
        <v>1815</v>
      </c>
    </row>
    <row r="6" spans="1:14">
      <c r="A6" s="139" t="s">
        <v>115</v>
      </c>
      <c r="B6" s="107">
        <v>1354</v>
      </c>
      <c r="C6" s="107">
        <v>1253</v>
      </c>
      <c r="D6" s="107">
        <v>1330</v>
      </c>
      <c r="E6" s="107">
        <v>1112</v>
      </c>
      <c r="F6" s="107">
        <v>1303</v>
      </c>
      <c r="G6" s="107">
        <v>1379</v>
      </c>
      <c r="H6" s="107">
        <v>1317</v>
      </c>
      <c r="I6" s="107">
        <v>1378</v>
      </c>
      <c r="J6" s="107">
        <v>1087</v>
      </c>
      <c r="K6" s="107">
        <v>1102</v>
      </c>
      <c r="L6" s="107">
        <v>1300</v>
      </c>
      <c r="M6" s="107">
        <v>1320</v>
      </c>
      <c r="N6" s="177">
        <f t="shared" si="0"/>
        <v>15235</v>
      </c>
    </row>
    <row r="7" spans="1:14">
      <c r="A7" s="139" t="s">
        <v>116</v>
      </c>
      <c r="B7" s="107">
        <v>502</v>
      </c>
      <c r="C7" s="107">
        <v>400</v>
      </c>
      <c r="D7" s="107">
        <v>537</v>
      </c>
      <c r="E7" s="107">
        <v>267</v>
      </c>
      <c r="F7" s="107">
        <v>185</v>
      </c>
      <c r="G7" s="107">
        <v>113</v>
      </c>
      <c r="H7" s="107">
        <v>107</v>
      </c>
      <c r="I7" s="107">
        <v>129</v>
      </c>
      <c r="J7" s="107">
        <v>556</v>
      </c>
      <c r="K7" s="107">
        <v>391</v>
      </c>
      <c r="L7" s="107">
        <v>521</v>
      </c>
      <c r="M7" s="107">
        <v>370</v>
      </c>
      <c r="N7" s="177">
        <f t="shared" si="0"/>
        <v>4078</v>
      </c>
    </row>
    <row r="8" spans="1:14">
      <c r="A8" s="139" t="s">
        <v>28</v>
      </c>
      <c r="B8" s="107">
        <v>454</v>
      </c>
      <c r="C8" s="107">
        <v>485</v>
      </c>
      <c r="D8" s="107">
        <v>569</v>
      </c>
      <c r="E8" s="107">
        <v>419</v>
      </c>
      <c r="F8" s="107">
        <v>341</v>
      </c>
      <c r="G8" s="107">
        <v>271</v>
      </c>
      <c r="H8" s="107">
        <v>240</v>
      </c>
      <c r="I8" s="107">
        <v>229</v>
      </c>
      <c r="J8" s="107">
        <v>384</v>
      </c>
      <c r="K8" s="107">
        <v>488</v>
      </c>
      <c r="L8" s="107">
        <v>555</v>
      </c>
      <c r="M8" s="107">
        <v>459</v>
      </c>
      <c r="N8" s="177">
        <f t="shared" ref="N8:N13" si="1">SUM(B8:M8)</f>
        <v>4894</v>
      </c>
    </row>
    <row r="9" spans="1:14">
      <c r="A9" s="139" t="s">
        <v>81</v>
      </c>
      <c r="B9" s="107">
        <f>1324+152</f>
        <v>1476</v>
      </c>
      <c r="C9" s="107">
        <f>1118+123</f>
        <v>1241</v>
      </c>
      <c r="D9" s="107">
        <f>1460+160</f>
        <v>1620</v>
      </c>
      <c r="E9" s="107">
        <f>1075+56</f>
        <v>1131</v>
      </c>
      <c r="F9" s="107">
        <f>833+50</f>
        <v>883</v>
      </c>
      <c r="G9" s="107">
        <f>1011+47</f>
        <v>1058</v>
      </c>
      <c r="H9" s="107">
        <f>1235+66</f>
        <v>1301</v>
      </c>
      <c r="I9" s="107">
        <f>1645+160</f>
        <v>1805</v>
      </c>
      <c r="J9" s="107">
        <f>1557+391</f>
        <v>1948</v>
      </c>
      <c r="K9" s="107">
        <f>1080+127</f>
        <v>1207</v>
      </c>
      <c r="L9" s="107">
        <f>1283+143</f>
        <v>1426</v>
      </c>
      <c r="M9" s="107">
        <f>1107+57</f>
        <v>1164</v>
      </c>
      <c r="N9" s="177">
        <f t="shared" si="1"/>
        <v>16260</v>
      </c>
    </row>
    <row r="10" spans="1:14">
      <c r="A10" s="139" t="s">
        <v>117</v>
      </c>
      <c r="B10" s="107">
        <v>426</v>
      </c>
      <c r="C10" s="107">
        <v>342</v>
      </c>
      <c r="D10" s="107">
        <v>453</v>
      </c>
      <c r="E10" s="107">
        <v>247</v>
      </c>
      <c r="F10" s="107">
        <v>98</v>
      </c>
      <c r="G10" s="107">
        <v>201</v>
      </c>
      <c r="H10" s="107">
        <v>81</v>
      </c>
      <c r="I10" s="107">
        <v>126</v>
      </c>
      <c r="J10" s="107">
        <v>424</v>
      </c>
      <c r="K10" s="107">
        <v>364</v>
      </c>
      <c r="L10" s="107">
        <v>495</v>
      </c>
      <c r="M10" s="107">
        <v>296</v>
      </c>
      <c r="N10" s="177">
        <f t="shared" si="1"/>
        <v>3553</v>
      </c>
    </row>
    <row r="11" spans="1:14">
      <c r="A11" s="139" t="s">
        <v>33</v>
      </c>
      <c r="B11" s="107">
        <v>0</v>
      </c>
      <c r="C11" s="107">
        <v>0</v>
      </c>
      <c r="D11" s="107">
        <v>0</v>
      </c>
      <c r="E11" s="107">
        <v>0</v>
      </c>
      <c r="F11" s="107">
        <v>0</v>
      </c>
      <c r="G11" s="107">
        <v>0</v>
      </c>
      <c r="H11" s="107">
        <v>0</v>
      </c>
      <c r="I11" s="107">
        <v>0</v>
      </c>
      <c r="J11" s="107">
        <v>0</v>
      </c>
      <c r="K11" s="107">
        <v>0</v>
      </c>
      <c r="L11" s="107">
        <v>0</v>
      </c>
      <c r="M11" s="107">
        <v>0</v>
      </c>
      <c r="N11" s="177">
        <f t="shared" si="1"/>
        <v>0</v>
      </c>
    </row>
    <row r="12" spans="1:14">
      <c r="A12" s="139" t="s">
        <v>118</v>
      </c>
      <c r="B12" s="107">
        <v>9</v>
      </c>
      <c r="C12" s="107">
        <v>9</v>
      </c>
      <c r="D12" s="107">
        <v>10</v>
      </c>
      <c r="E12" s="107">
        <v>6</v>
      </c>
      <c r="F12" s="107">
        <v>8</v>
      </c>
      <c r="G12" s="107">
        <v>8</v>
      </c>
      <c r="H12" s="107">
        <v>8</v>
      </c>
      <c r="I12" s="107">
        <v>7</v>
      </c>
      <c r="J12" s="107">
        <v>8</v>
      </c>
      <c r="K12" s="107">
        <v>8</v>
      </c>
      <c r="L12" s="107">
        <v>9</v>
      </c>
      <c r="M12" s="107">
        <v>5</v>
      </c>
      <c r="N12" s="177">
        <f t="shared" si="1"/>
        <v>95</v>
      </c>
    </row>
    <row r="13" spans="1:14">
      <c r="A13" s="139" t="s">
        <v>76</v>
      </c>
      <c r="B13" s="107">
        <v>440</v>
      </c>
      <c r="C13" s="107">
        <v>369</v>
      </c>
      <c r="D13" s="107">
        <v>413</v>
      </c>
      <c r="E13" s="107">
        <v>293</v>
      </c>
      <c r="F13" s="107">
        <v>353</v>
      </c>
      <c r="G13" s="107">
        <v>169</v>
      </c>
      <c r="H13" s="107">
        <v>221</v>
      </c>
      <c r="I13" s="107">
        <v>427</v>
      </c>
      <c r="J13" s="107">
        <v>420</v>
      </c>
      <c r="K13" s="107">
        <v>245</v>
      </c>
      <c r="L13" s="107">
        <v>384</v>
      </c>
      <c r="M13" s="107">
        <v>240</v>
      </c>
      <c r="N13" s="177">
        <f t="shared" si="1"/>
        <v>3974</v>
      </c>
    </row>
    <row r="14" spans="1:14">
      <c r="A14" s="139" t="s">
        <v>29</v>
      </c>
      <c r="B14" s="107">
        <v>441</v>
      </c>
      <c r="C14" s="107">
        <v>446</v>
      </c>
      <c r="D14" s="107">
        <v>468</v>
      </c>
      <c r="E14" s="107">
        <v>475</v>
      </c>
      <c r="F14" s="107">
        <v>803</v>
      </c>
      <c r="G14" s="107">
        <v>537</v>
      </c>
      <c r="H14" s="107">
        <v>566</v>
      </c>
      <c r="I14" s="107">
        <v>544</v>
      </c>
      <c r="J14" s="107">
        <v>505</v>
      </c>
      <c r="K14" s="107">
        <v>553</v>
      </c>
      <c r="L14" s="107">
        <v>464</v>
      </c>
      <c r="M14" s="107">
        <v>409</v>
      </c>
      <c r="N14" s="177">
        <f t="shared" si="0"/>
        <v>6211</v>
      </c>
    </row>
    <row r="15" spans="1:14">
      <c r="A15" s="3" t="s">
        <v>34</v>
      </c>
      <c r="B15" s="107">
        <v>0</v>
      </c>
      <c r="C15" s="107">
        <v>0</v>
      </c>
      <c r="D15" s="107">
        <v>0</v>
      </c>
      <c r="E15" s="107">
        <v>9</v>
      </c>
      <c r="F15" s="107">
        <v>0</v>
      </c>
      <c r="G15" s="107">
        <v>0</v>
      </c>
      <c r="H15" s="107">
        <v>0</v>
      </c>
      <c r="I15" s="107">
        <v>0</v>
      </c>
      <c r="J15" s="107">
        <v>0</v>
      </c>
      <c r="K15" s="107">
        <v>25</v>
      </c>
      <c r="L15" s="107">
        <v>14</v>
      </c>
      <c r="M15" s="107">
        <v>0</v>
      </c>
      <c r="N15" s="177">
        <f>SUM(B15:M15)</f>
        <v>48</v>
      </c>
    </row>
    <row r="16" spans="1:14">
      <c r="A16" s="139" t="s">
        <v>119</v>
      </c>
      <c r="B16" s="107">
        <v>7</v>
      </c>
      <c r="C16" s="107">
        <v>1</v>
      </c>
      <c r="D16" s="107">
        <v>1</v>
      </c>
      <c r="E16" s="107">
        <v>1</v>
      </c>
      <c r="F16" s="107">
        <v>4</v>
      </c>
      <c r="G16" s="107">
        <v>1</v>
      </c>
      <c r="H16" s="107">
        <v>0</v>
      </c>
      <c r="I16" s="107">
        <v>1</v>
      </c>
      <c r="J16" s="107">
        <v>7</v>
      </c>
      <c r="K16" s="107">
        <v>1</v>
      </c>
      <c r="L16" s="107">
        <v>1</v>
      </c>
      <c r="M16" s="107">
        <v>1</v>
      </c>
      <c r="N16" s="177">
        <f t="shared" si="0"/>
        <v>26</v>
      </c>
    </row>
    <row r="17" spans="1:14">
      <c r="A17" s="139" t="s">
        <v>2</v>
      </c>
      <c r="B17" s="107">
        <v>106</v>
      </c>
      <c r="C17" s="107">
        <v>92</v>
      </c>
      <c r="D17" s="107">
        <v>265</v>
      </c>
      <c r="E17" s="107">
        <v>85</v>
      </c>
      <c r="F17" s="107">
        <v>93</v>
      </c>
      <c r="G17" s="107">
        <v>86</v>
      </c>
      <c r="H17" s="107">
        <v>76</v>
      </c>
      <c r="I17" s="107">
        <v>96</v>
      </c>
      <c r="J17" s="107">
        <v>83</v>
      </c>
      <c r="K17" s="107">
        <v>82</v>
      </c>
      <c r="L17" s="107">
        <v>93</v>
      </c>
      <c r="M17" s="107">
        <v>116</v>
      </c>
      <c r="N17" s="177">
        <f t="shared" si="0"/>
        <v>1273</v>
      </c>
    </row>
    <row r="18" spans="1:14">
      <c r="A18" s="139" t="s">
        <v>30</v>
      </c>
      <c r="B18" s="107">
        <v>0</v>
      </c>
      <c r="C18" s="107">
        <v>0</v>
      </c>
      <c r="D18" s="107">
        <v>0</v>
      </c>
      <c r="E18" s="107">
        <v>0</v>
      </c>
      <c r="F18" s="107">
        <v>0</v>
      </c>
      <c r="G18" s="107">
        <v>0</v>
      </c>
      <c r="H18" s="107">
        <v>0</v>
      </c>
      <c r="I18" s="107">
        <v>0</v>
      </c>
      <c r="J18" s="107">
        <v>0</v>
      </c>
      <c r="K18" s="107">
        <v>0</v>
      </c>
      <c r="L18" s="107">
        <v>0</v>
      </c>
      <c r="M18" s="107">
        <v>0</v>
      </c>
      <c r="N18" s="177">
        <f t="shared" si="0"/>
        <v>0</v>
      </c>
    </row>
    <row r="19" spans="1:14">
      <c r="A19" s="139" t="s">
        <v>120</v>
      </c>
      <c r="B19" s="107">
        <v>672</v>
      </c>
      <c r="C19" s="107">
        <v>765</v>
      </c>
      <c r="D19" s="107">
        <v>530</v>
      </c>
      <c r="E19" s="107">
        <v>352</v>
      </c>
      <c r="F19" s="107">
        <v>338</v>
      </c>
      <c r="G19" s="107">
        <v>393</v>
      </c>
      <c r="H19" s="107">
        <f>196+99</f>
        <v>295</v>
      </c>
      <c r="I19" s="107">
        <v>434</v>
      </c>
      <c r="J19" s="107">
        <v>696</v>
      </c>
      <c r="K19" s="107">
        <v>547</v>
      </c>
      <c r="L19" s="107">
        <v>633</v>
      </c>
      <c r="M19" s="107">
        <v>532</v>
      </c>
      <c r="N19" s="177">
        <f t="shared" si="0"/>
        <v>6187</v>
      </c>
    </row>
    <row r="20" spans="1:14" ht="30">
      <c r="A20" s="139" t="s">
        <v>122</v>
      </c>
      <c r="B20" s="107">
        <v>818</v>
      </c>
      <c r="C20" s="107">
        <v>652</v>
      </c>
      <c r="D20" s="107">
        <v>882</v>
      </c>
      <c r="E20" s="107">
        <v>415</v>
      </c>
      <c r="F20" s="107">
        <v>54</v>
      </c>
      <c r="G20" s="107">
        <v>95</v>
      </c>
      <c r="H20" s="107">
        <v>99</v>
      </c>
      <c r="I20" s="107">
        <v>124</v>
      </c>
      <c r="J20" s="107">
        <v>765</v>
      </c>
      <c r="K20" s="107">
        <v>639</v>
      </c>
      <c r="L20" s="107">
        <v>861</v>
      </c>
      <c r="M20" s="107">
        <v>520</v>
      </c>
      <c r="N20" s="177">
        <f t="shared" si="0"/>
        <v>5924</v>
      </c>
    </row>
    <row r="21" spans="1:14" ht="30">
      <c r="A21" s="139" t="s">
        <v>121</v>
      </c>
      <c r="B21" s="107">
        <v>715</v>
      </c>
      <c r="C21" s="107">
        <v>575</v>
      </c>
      <c r="D21" s="107">
        <v>753</v>
      </c>
      <c r="E21" s="107">
        <v>360</v>
      </c>
      <c r="F21" s="107">
        <v>41</v>
      </c>
      <c r="G21" s="107">
        <v>42</v>
      </c>
      <c r="H21" s="107">
        <v>77</v>
      </c>
      <c r="I21" s="107">
        <v>115</v>
      </c>
      <c r="J21" s="107">
        <v>620</v>
      </c>
      <c r="K21" s="107">
        <v>553</v>
      </c>
      <c r="L21" s="107">
        <v>775</v>
      </c>
      <c r="M21" s="107">
        <v>483</v>
      </c>
      <c r="N21" s="177">
        <f t="shared" si="0"/>
        <v>5109</v>
      </c>
    </row>
    <row r="22" spans="1:14">
      <c r="A22" s="139" t="s">
        <v>31</v>
      </c>
      <c r="B22" s="107">
        <v>797</v>
      </c>
      <c r="C22" s="107">
        <v>660</v>
      </c>
      <c r="D22" s="107">
        <v>876</v>
      </c>
      <c r="E22" s="107">
        <v>540</v>
      </c>
      <c r="F22" s="107">
        <v>289</v>
      </c>
      <c r="G22" s="107">
        <v>429</v>
      </c>
      <c r="H22" s="107">
        <v>359</v>
      </c>
      <c r="I22" s="107">
        <v>456</v>
      </c>
      <c r="J22" s="107">
        <v>718</v>
      </c>
      <c r="K22" s="107">
        <v>650</v>
      </c>
      <c r="L22" s="107">
        <v>780</v>
      </c>
      <c r="M22" s="107">
        <v>594</v>
      </c>
      <c r="N22" s="177">
        <f t="shared" si="0"/>
        <v>7148</v>
      </c>
    </row>
    <row r="23" spans="1:14">
      <c r="A23" s="139" t="s">
        <v>123</v>
      </c>
      <c r="B23" s="107">
        <v>147</v>
      </c>
      <c r="C23" s="107">
        <v>195</v>
      </c>
      <c r="D23" s="107">
        <v>189</v>
      </c>
      <c r="E23" s="107">
        <v>114</v>
      </c>
      <c r="F23" s="107">
        <v>133</v>
      </c>
      <c r="G23" s="107">
        <v>135</v>
      </c>
      <c r="H23" s="107">
        <v>129</v>
      </c>
      <c r="I23" s="107">
        <v>108</v>
      </c>
      <c r="J23" s="107">
        <v>86</v>
      </c>
      <c r="K23" s="107">
        <v>119</v>
      </c>
      <c r="L23" s="107">
        <v>134</v>
      </c>
      <c r="M23" s="107">
        <v>99</v>
      </c>
      <c r="N23" s="177">
        <f t="shared" si="0"/>
        <v>1588</v>
      </c>
    </row>
    <row r="24" spans="1:14" ht="15.75" thickBot="1">
      <c r="A24" s="139" t="s">
        <v>23</v>
      </c>
      <c r="B24" s="156">
        <v>71</v>
      </c>
      <c r="C24" s="156">
        <v>58</v>
      </c>
      <c r="D24" s="156">
        <v>73</v>
      </c>
      <c r="E24" s="156">
        <v>69</v>
      </c>
      <c r="F24" s="156">
        <v>111</v>
      </c>
      <c r="G24" s="156">
        <v>108</v>
      </c>
      <c r="H24" s="156">
        <v>97</v>
      </c>
      <c r="I24" s="156">
        <v>69</v>
      </c>
      <c r="J24" s="156">
        <v>0</v>
      </c>
      <c r="K24" s="156">
        <v>61</v>
      </c>
      <c r="L24" s="156">
        <v>135</v>
      </c>
      <c r="M24" s="156">
        <v>82</v>
      </c>
      <c r="N24" s="180">
        <f t="shared" si="0"/>
        <v>934</v>
      </c>
    </row>
    <row r="25" spans="1:14" ht="16.5" customHeight="1" thickTop="1" thickBot="1">
      <c r="A25" s="140" t="s">
        <v>45</v>
      </c>
      <c r="B25" s="248">
        <f>SUM(B4:B24)</f>
        <v>9369</v>
      </c>
      <c r="C25" s="248">
        <f t="shared" ref="C25:M25" si="2">SUM(C4:C24)</f>
        <v>8260</v>
      </c>
      <c r="D25" s="248">
        <f t="shared" si="2"/>
        <v>9776</v>
      </c>
      <c r="E25" s="248">
        <f t="shared" si="2"/>
        <v>6595</v>
      </c>
      <c r="F25" s="248">
        <f t="shared" si="2"/>
        <v>5609</v>
      </c>
      <c r="G25" s="248">
        <f t="shared" si="2"/>
        <v>5573</v>
      </c>
      <c r="H25" s="248">
        <f t="shared" si="2"/>
        <v>5579</v>
      </c>
      <c r="I25" s="248">
        <f t="shared" si="2"/>
        <v>7387</v>
      </c>
      <c r="J25" s="248">
        <f t="shared" si="2"/>
        <v>9292</v>
      </c>
      <c r="K25" s="248">
        <f t="shared" si="2"/>
        <v>8259</v>
      </c>
      <c r="L25" s="248">
        <f t="shared" si="2"/>
        <v>9458</v>
      </c>
      <c r="M25" s="248">
        <f t="shared" si="2"/>
        <v>7341</v>
      </c>
      <c r="N25" s="249">
        <f t="shared" si="0"/>
        <v>92498</v>
      </c>
    </row>
    <row r="26" spans="1:14">
      <c r="A26" s="6"/>
      <c r="B26" s="182"/>
      <c r="C26" s="182"/>
      <c r="D26" s="182"/>
      <c r="E26" s="182"/>
      <c r="F26" s="182"/>
      <c r="G26" s="182"/>
      <c r="H26" s="182"/>
      <c r="I26" s="182"/>
      <c r="J26" s="182"/>
      <c r="K26" s="182"/>
      <c r="L26" s="182"/>
      <c r="M26" s="182"/>
      <c r="N26" s="183"/>
    </row>
    <row r="27" spans="1:14" ht="15.75" thickBot="1">
      <c r="A27" s="6" t="s">
        <v>8</v>
      </c>
      <c r="B27" s="182"/>
      <c r="C27" s="182"/>
      <c r="D27" s="182"/>
      <c r="E27" s="182"/>
      <c r="F27" s="182"/>
      <c r="G27" s="182"/>
      <c r="H27" s="182"/>
      <c r="I27" s="182"/>
      <c r="J27" s="182"/>
      <c r="K27" s="182"/>
      <c r="L27" s="182"/>
      <c r="M27" s="182"/>
      <c r="N27" s="183"/>
    </row>
    <row r="28" spans="1:14">
      <c r="A28" s="136" t="s">
        <v>105</v>
      </c>
      <c r="B28" s="105">
        <v>1</v>
      </c>
      <c r="C28" s="105">
        <v>2</v>
      </c>
      <c r="D28" s="105">
        <v>6</v>
      </c>
      <c r="E28" s="105">
        <v>4</v>
      </c>
      <c r="F28" s="105">
        <v>5</v>
      </c>
      <c r="G28" s="105">
        <v>4</v>
      </c>
      <c r="H28" s="105">
        <v>2</v>
      </c>
      <c r="I28" s="105">
        <v>4</v>
      </c>
      <c r="J28" s="105">
        <v>4</v>
      </c>
      <c r="K28" s="105">
        <v>6</v>
      </c>
      <c r="L28" s="105">
        <v>1</v>
      </c>
      <c r="M28" s="105">
        <v>0</v>
      </c>
      <c r="N28" s="176">
        <f>SUM(B28:M28)</f>
        <v>39</v>
      </c>
    </row>
    <row r="29" spans="1:14">
      <c r="A29" s="13" t="s">
        <v>85</v>
      </c>
      <c r="B29" s="107">
        <v>4</v>
      </c>
      <c r="C29" s="107">
        <v>6</v>
      </c>
      <c r="D29" s="107">
        <v>6</v>
      </c>
      <c r="E29" s="107">
        <v>7</v>
      </c>
      <c r="F29" s="107">
        <v>4</v>
      </c>
      <c r="G29" s="107">
        <v>6</v>
      </c>
      <c r="H29" s="107">
        <v>5</v>
      </c>
      <c r="I29" s="107">
        <v>37</v>
      </c>
      <c r="J29" s="107">
        <v>17</v>
      </c>
      <c r="K29" s="107">
        <v>6</v>
      </c>
      <c r="L29" s="107">
        <v>5</v>
      </c>
      <c r="M29" s="107">
        <v>4</v>
      </c>
      <c r="N29" s="177">
        <f t="shared" ref="N29:N36" si="3">SUM(B29:M29)</f>
        <v>107</v>
      </c>
    </row>
    <row r="30" spans="1:14">
      <c r="A30" s="13" t="s">
        <v>106</v>
      </c>
      <c r="B30" s="107">
        <v>2</v>
      </c>
      <c r="C30" s="107">
        <v>2</v>
      </c>
      <c r="D30" s="107">
        <v>3</v>
      </c>
      <c r="E30" s="107">
        <v>1</v>
      </c>
      <c r="F30" s="107">
        <v>2</v>
      </c>
      <c r="G30" s="107">
        <v>0</v>
      </c>
      <c r="H30" s="107">
        <v>1</v>
      </c>
      <c r="I30" s="107">
        <v>0</v>
      </c>
      <c r="J30" s="107">
        <v>2</v>
      </c>
      <c r="K30" s="107">
        <v>4</v>
      </c>
      <c r="L30" s="107">
        <v>5</v>
      </c>
      <c r="M30" s="107">
        <v>2</v>
      </c>
      <c r="N30" s="177">
        <f>SUM(B30:M30)</f>
        <v>24</v>
      </c>
    </row>
    <row r="31" spans="1:14">
      <c r="A31" s="13" t="s">
        <v>107</v>
      </c>
      <c r="B31" s="107">
        <v>74</v>
      </c>
      <c r="C31" s="107">
        <v>107</v>
      </c>
      <c r="D31" s="107">
        <v>107</v>
      </c>
      <c r="E31" s="107">
        <v>108</v>
      </c>
      <c r="F31" s="107">
        <v>79</v>
      </c>
      <c r="G31" s="107">
        <v>70</v>
      </c>
      <c r="H31" s="107">
        <v>60</v>
      </c>
      <c r="I31" s="107">
        <v>67</v>
      </c>
      <c r="J31" s="107">
        <v>99</v>
      </c>
      <c r="K31" s="107">
        <v>106</v>
      </c>
      <c r="L31" s="107">
        <v>111</v>
      </c>
      <c r="M31" s="107">
        <v>97</v>
      </c>
      <c r="N31" s="177">
        <f t="shared" si="3"/>
        <v>1085</v>
      </c>
    </row>
    <row r="32" spans="1:14">
      <c r="A32" s="13" t="s">
        <v>108</v>
      </c>
      <c r="B32" s="107">
        <v>7</v>
      </c>
      <c r="C32" s="107">
        <v>8</v>
      </c>
      <c r="D32" s="107">
        <v>8</v>
      </c>
      <c r="E32" s="107">
        <v>9</v>
      </c>
      <c r="F32" s="107">
        <v>7</v>
      </c>
      <c r="G32" s="107">
        <v>7</v>
      </c>
      <c r="H32" s="107">
        <v>10</v>
      </c>
      <c r="I32" s="107">
        <v>10</v>
      </c>
      <c r="J32" s="107">
        <v>10</v>
      </c>
      <c r="K32" s="107">
        <v>9</v>
      </c>
      <c r="L32" s="107">
        <v>11</v>
      </c>
      <c r="M32" s="107">
        <v>27</v>
      </c>
      <c r="N32" s="177">
        <f t="shared" si="3"/>
        <v>123</v>
      </c>
    </row>
    <row r="33" spans="1:14">
      <c r="A33" s="13" t="s">
        <v>87</v>
      </c>
      <c r="B33" s="107">
        <v>8</v>
      </c>
      <c r="C33" s="107">
        <v>10</v>
      </c>
      <c r="D33" s="107">
        <v>13</v>
      </c>
      <c r="E33" s="107">
        <v>10</v>
      </c>
      <c r="F33" s="107">
        <v>4</v>
      </c>
      <c r="G33" s="107">
        <v>7</v>
      </c>
      <c r="H33" s="107">
        <v>2</v>
      </c>
      <c r="I33" s="107">
        <v>4</v>
      </c>
      <c r="J33" s="107">
        <v>20</v>
      </c>
      <c r="K33" s="107">
        <v>10</v>
      </c>
      <c r="L33" s="107">
        <v>10</v>
      </c>
      <c r="M33" s="107">
        <v>7</v>
      </c>
      <c r="N33" s="177">
        <f t="shared" si="3"/>
        <v>105</v>
      </c>
    </row>
    <row r="34" spans="1:14">
      <c r="A34" s="13" t="s">
        <v>88</v>
      </c>
      <c r="B34" s="256">
        <v>3</v>
      </c>
      <c r="C34" s="256">
        <v>2</v>
      </c>
      <c r="D34" s="256">
        <v>3</v>
      </c>
      <c r="E34" s="256">
        <v>2</v>
      </c>
      <c r="F34" s="256">
        <v>2</v>
      </c>
      <c r="G34" s="256">
        <v>1</v>
      </c>
      <c r="H34" s="256">
        <v>1</v>
      </c>
      <c r="I34" s="256">
        <v>1</v>
      </c>
      <c r="J34" s="256">
        <v>2</v>
      </c>
      <c r="K34" s="256">
        <v>4</v>
      </c>
      <c r="L34" s="256">
        <v>3</v>
      </c>
      <c r="M34" s="256">
        <v>3</v>
      </c>
      <c r="N34" s="177">
        <f t="shared" si="3"/>
        <v>27</v>
      </c>
    </row>
    <row r="35" spans="1:14" ht="15.75" thickBot="1">
      <c r="A35" s="13" t="s">
        <v>109</v>
      </c>
      <c r="B35" s="156" t="s">
        <v>104</v>
      </c>
      <c r="C35" s="156" t="s">
        <v>104</v>
      </c>
      <c r="D35" s="156" t="s">
        <v>104</v>
      </c>
      <c r="E35" s="156" t="s">
        <v>104</v>
      </c>
      <c r="F35" s="156" t="s">
        <v>104</v>
      </c>
      <c r="G35" s="156" t="s">
        <v>104</v>
      </c>
      <c r="H35" s="156">
        <v>5</v>
      </c>
      <c r="I35" s="156">
        <v>7</v>
      </c>
      <c r="J35" s="156">
        <v>3</v>
      </c>
      <c r="K35" s="156">
        <v>5</v>
      </c>
      <c r="L35" s="156">
        <v>19</v>
      </c>
      <c r="M35" s="156">
        <v>3</v>
      </c>
      <c r="N35" s="257">
        <f t="shared" si="3"/>
        <v>42</v>
      </c>
    </row>
    <row r="36" spans="1:14" ht="16.5" thickTop="1" thickBot="1">
      <c r="A36" s="143" t="s">
        <v>46</v>
      </c>
      <c r="B36" s="250">
        <f t="shared" ref="B36:M36" si="4">SUM(B28:B35)</f>
        <v>99</v>
      </c>
      <c r="C36" s="250">
        <f t="shared" si="4"/>
        <v>137</v>
      </c>
      <c r="D36" s="250">
        <f t="shared" si="4"/>
        <v>146</v>
      </c>
      <c r="E36" s="250">
        <f t="shared" si="4"/>
        <v>141</v>
      </c>
      <c r="F36" s="250">
        <f t="shared" si="4"/>
        <v>103</v>
      </c>
      <c r="G36" s="250">
        <f t="shared" si="4"/>
        <v>95</v>
      </c>
      <c r="H36" s="250">
        <f t="shared" si="4"/>
        <v>86</v>
      </c>
      <c r="I36" s="250">
        <f t="shared" si="4"/>
        <v>130</v>
      </c>
      <c r="J36" s="250">
        <f t="shared" si="4"/>
        <v>157</v>
      </c>
      <c r="K36" s="250">
        <f t="shared" si="4"/>
        <v>150</v>
      </c>
      <c r="L36" s="250">
        <f t="shared" si="4"/>
        <v>165</v>
      </c>
      <c r="M36" s="250">
        <f t="shared" si="4"/>
        <v>143</v>
      </c>
      <c r="N36" s="249">
        <f t="shared" si="3"/>
        <v>1552</v>
      </c>
    </row>
    <row r="37" spans="1:14" ht="15.75" thickBot="1">
      <c r="A37" s="6"/>
      <c r="B37" s="204"/>
      <c r="C37" s="204"/>
      <c r="D37" s="204"/>
      <c r="E37" s="204"/>
      <c r="F37" s="204"/>
      <c r="G37" s="204"/>
      <c r="H37" s="204"/>
      <c r="I37" s="204"/>
      <c r="J37" s="204"/>
      <c r="K37" s="204"/>
      <c r="L37" s="204"/>
      <c r="M37" s="204"/>
      <c r="N37" s="182"/>
    </row>
    <row r="38" spans="1:14" ht="15.75" thickBot="1">
      <c r="A38" s="116" t="s">
        <v>20</v>
      </c>
      <c r="B38" s="288"/>
      <c r="C38" s="288">
        <v>150</v>
      </c>
      <c r="D38" s="288"/>
      <c r="E38" s="288">
        <v>230</v>
      </c>
      <c r="F38" s="288"/>
      <c r="G38" s="288">
        <v>200</v>
      </c>
      <c r="H38" s="288"/>
      <c r="I38" s="288">
        <v>100</v>
      </c>
      <c r="J38" s="288"/>
      <c r="K38" s="288">
        <v>105</v>
      </c>
      <c r="L38" s="288"/>
      <c r="M38" s="288">
        <v>235</v>
      </c>
      <c r="N38" s="259">
        <f>SUM(B38:M38)</f>
        <v>1020</v>
      </c>
    </row>
    <row r="39" spans="1:14" ht="15.75" thickBot="1">
      <c r="A39" s="6"/>
      <c r="B39" s="159"/>
      <c r="C39" s="159"/>
      <c r="D39" s="159"/>
      <c r="E39" s="159"/>
      <c r="F39" s="159"/>
      <c r="G39" s="159"/>
      <c r="H39" s="159"/>
      <c r="I39" s="159"/>
      <c r="J39" s="159"/>
      <c r="K39" s="159"/>
      <c r="L39" s="159"/>
      <c r="M39" s="159"/>
      <c r="N39" s="183"/>
    </row>
    <row r="40" spans="1:14" ht="15.75" thickBot="1">
      <c r="A40" s="134" t="s">
        <v>67</v>
      </c>
      <c r="B40" s="251">
        <f>B25+B36+B38</f>
        <v>9468</v>
      </c>
      <c r="C40" s="251">
        <f t="shared" ref="C40:N40" si="5">C25+C36+C38</f>
        <v>8547</v>
      </c>
      <c r="D40" s="251">
        <f t="shared" si="5"/>
        <v>9922</v>
      </c>
      <c r="E40" s="251">
        <f t="shared" si="5"/>
        <v>6966</v>
      </c>
      <c r="F40" s="251">
        <f t="shared" si="5"/>
        <v>5712</v>
      </c>
      <c r="G40" s="251">
        <f t="shared" si="5"/>
        <v>5868</v>
      </c>
      <c r="H40" s="251">
        <f t="shared" si="5"/>
        <v>5665</v>
      </c>
      <c r="I40" s="251">
        <f t="shared" si="5"/>
        <v>7617</v>
      </c>
      <c r="J40" s="251">
        <f t="shared" si="5"/>
        <v>9449</v>
      </c>
      <c r="K40" s="251">
        <f t="shared" si="5"/>
        <v>8514</v>
      </c>
      <c r="L40" s="251">
        <f t="shared" si="5"/>
        <v>9623</v>
      </c>
      <c r="M40" s="251">
        <f t="shared" si="5"/>
        <v>7719</v>
      </c>
      <c r="N40" s="251">
        <f t="shared" si="5"/>
        <v>95070</v>
      </c>
    </row>
  </sheetData>
  <pageMargins left="0.7" right="0.7" top="0.75" bottom="0.75" header="0.3" footer="0.3"/>
  <pageSetup scale="8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N42"/>
  <sheetViews>
    <sheetView showGridLines="0" topLeftCell="A7" workbookViewId="0">
      <selection activeCell="N29" sqref="N29:N30"/>
    </sheetView>
  </sheetViews>
  <sheetFormatPr defaultColWidth="8.85546875" defaultRowHeight="15"/>
  <cols>
    <col min="1" max="1" width="23.85546875" style="17" customWidth="1"/>
    <col min="2" max="13" width="9.28515625" style="17" bestFit="1" customWidth="1"/>
    <col min="14" max="14" width="10.85546875" style="17" bestFit="1" customWidth="1"/>
    <col min="15" max="16384" width="8.85546875" style="17"/>
  </cols>
  <sheetData>
    <row r="1" spans="1:14" ht="17.25" thickBot="1">
      <c r="A1" s="116" t="s">
        <v>0</v>
      </c>
      <c r="B1" s="117">
        <v>42370</v>
      </c>
      <c r="C1" s="117">
        <v>42401</v>
      </c>
      <c r="D1" s="117">
        <v>42430</v>
      </c>
      <c r="E1" s="117">
        <v>42461</v>
      </c>
      <c r="F1" s="117">
        <v>42491</v>
      </c>
      <c r="G1" s="117">
        <v>42522</v>
      </c>
      <c r="H1" s="117">
        <v>42552</v>
      </c>
      <c r="I1" s="117">
        <v>42583</v>
      </c>
      <c r="J1" s="117">
        <v>42614</v>
      </c>
      <c r="K1" s="117">
        <v>42644</v>
      </c>
      <c r="L1" s="117">
        <v>42675</v>
      </c>
      <c r="M1" s="117">
        <v>42705</v>
      </c>
      <c r="N1" s="118" t="s">
        <v>131</v>
      </c>
    </row>
    <row r="2" spans="1:14">
      <c r="A2" s="6"/>
      <c r="B2" s="30"/>
      <c r="C2" s="30"/>
      <c r="D2" s="30"/>
      <c r="E2" s="30"/>
      <c r="F2" s="30"/>
      <c r="G2" s="30"/>
      <c r="H2" s="30"/>
      <c r="I2" s="30"/>
      <c r="J2" s="30"/>
      <c r="K2" s="30"/>
      <c r="L2" s="30"/>
      <c r="M2" s="30"/>
      <c r="N2" s="4"/>
    </row>
    <row r="3" spans="1:14" ht="15.75" thickBot="1">
      <c r="A3" s="6" t="s">
        <v>51</v>
      </c>
      <c r="B3" s="30"/>
      <c r="C3" s="30"/>
      <c r="D3" s="30"/>
      <c r="E3" s="30"/>
      <c r="F3" s="30"/>
      <c r="G3" s="30"/>
      <c r="H3" s="30"/>
      <c r="I3" s="30"/>
      <c r="J3" s="30"/>
      <c r="K3" s="30"/>
      <c r="L3" s="30"/>
      <c r="M3" s="30"/>
      <c r="N3" s="4"/>
    </row>
    <row r="4" spans="1:14">
      <c r="A4" s="139" t="s">
        <v>24</v>
      </c>
      <c r="B4" s="105">
        <v>697</v>
      </c>
      <c r="C4" s="105">
        <v>671</v>
      </c>
      <c r="D4" s="105">
        <v>869</v>
      </c>
      <c r="E4" s="105">
        <v>658</v>
      </c>
      <c r="F4" s="105">
        <v>542</v>
      </c>
      <c r="G4" s="105">
        <v>615</v>
      </c>
      <c r="H4" s="105">
        <v>469</v>
      </c>
      <c r="I4" s="105">
        <v>0</v>
      </c>
      <c r="J4" s="105">
        <v>802</v>
      </c>
      <c r="K4" s="105">
        <v>766</v>
      </c>
      <c r="L4" s="105">
        <v>691</v>
      </c>
      <c r="M4" s="105">
        <v>535</v>
      </c>
      <c r="N4" s="176">
        <f>SUM(B4:M4)</f>
        <v>7315</v>
      </c>
    </row>
    <row r="5" spans="1:14">
      <c r="A5" s="139" t="s">
        <v>27</v>
      </c>
      <c r="B5" s="107">
        <v>94</v>
      </c>
      <c r="C5" s="107">
        <v>66</v>
      </c>
      <c r="D5" s="107">
        <v>76</v>
      </c>
      <c r="E5" s="107">
        <v>84</v>
      </c>
      <c r="F5" s="107">
        <v>73</v>
      </c>
      <c r="G5" s="107">
        <v>77</v>
      </c>
      <c r="H5" s="107">
        <v>76</v>
      </c>
      <c r="I5" s="107">
        <v>88</v>
      </c>
      <c r="J5" s="107">
        <v>76</v>
      </c>
      <c r="K5" s="107">
        <v>82</v>
      </c>
      <c r="L5" s="107">
        <v>60</v>
      </c>
      <c r="M5" s="107">
        <v>65</v>
      </c>
      <c r="N5" s="177">
        <f t="shared" ref="N5:N24" si="0">SUM(B5:M5)</f>
        <v>917</v>
      </c>
    </row>
    <row r="6" spans="1:14">
      <c r="A6" s="139" t="s">
        <v>115</v>
      </c>
      <c r="B6" s="107">
        <v>1340</v>
      </c>
      <c r="C6" s="107">
        <v>1247</v>
      </c>
      <c r="D6" s="107">
        <v>1448</v>
      </c>
      <c r="E6" s="107">
        <v>1299</v>
      </c>
      <c r="F6" s="107">
        <v>1138</v>
      </c>
      <c r="G6" s="107">
        <v>1425</v>
      </c>
      <c r="H6" s="107">
        <v>1448</v>
      </c>
      <c r="I6" s="107">
        <v>1683</v>
      </c>
      <c r="J6" s="107">
        <v>1211</v>
      </c>
      <c r="K6" s="107">
        <v>1205</v>
      </c>
      <c r="L6" s="107">
        <v>916</v>
      </c>
      <c r="M6" s="107">
        <v>794</v>
      </c>
      <c r="N6" s="177">
        <f t="shared" si="0"/>
        <v>15154</v>
      </c>
    </row>
    <row r="7" spans="1:14" ht="12.75" customHeight="1">
      <c r="A7" s="139" t="s">
        <v>116</v>
      </c>
      <c r="B7" s="107">
        <v>491</v>
      </c>
      <c r="C7" s="107">
        <v>387</v>
      </c>
      <c r="D7" s="107">
        <v>551</v>
      </c>
      <c r="E7" s="107">
        <v>323</v>
      </c>
      <c r="F7" s="107">
        <v>171</v>
      </c>
      <c r="G7" s="107">
        <v>196</v>
      </c>
      <c r="H7" s="107">
        <v>120</v>
      </c>
      <c r="I7" s="107">
        <v>167</v>
      </c>
      <c r="J7" s="107">
        <v>433</v>
      </c>
      <c r="K7" s="107">
        <v>347</v>
      </c>
      <c r="L7" s="107">
        <v>0</v>
      </c>
      <c r="M7" s="107">
        <v>370</v>
      </c>
      <c r="N7" s="177">
        <f t="shared" si="0"/>
        <v>3556</v>
      </c>
    </row>
    <row r="8" spans="1:14">
      <c r="A8" s="139" t="s">
        <v>28</v>
      </c>
      <c r="B8" s="107">
        <v>444</v>
      </c>
      <c r="C8" s="107">
        <v>488</v>
      </c>
      <c r="D8" s="107">
        <v>645</v>
      </c>
      <c r="E8" s="107">
        <v>600</v>
      </c>
      <c r="F8" s="107">
        <v>286</v>
      </c>
      <c r="G8" s="107">
        <v>256</v>
      </c>
      <c r="H8" s="107">
        <v>242</v>
      </c>
      <c r="I8" s="107">
        <v>253</v>
      </c>
      <c r="J8" s="107">
        <v>439</v>
      </c>
      <c r="K8" s="107">
        <v>578</v>
      </c>
      <c r="L8" s="107">
        <v>474</v>
      </c>
      <c r="M8" s="107">
        <v>400</v>
      </c>
      <c r="N8" s="177">
        <f t="shared" ref="N8:N13" si="1">SUM(B8:M8)</f>
        <v>5105</v>
      </c>
    </row>
    <row r="9" spans="1:14">
      <c r="A9" s="139" t="s">
        <v>81</v>
      </c>
      <c r="B9" s="107">
        <f>1401+172</f>
        <v>1573</v>
      </c>
      <c r="C9" s="107">
        <f>1183+152</f>
        <v>1335</v>
      </c>
      <c r="D9" s="107">
        <f>1451+163</f>
        <v>1614</v>
      </c>
      <c r="E9" s="107">
        <f>1049+51</f>
        <v>1100</v>
      </c>
      <c r="F9" s="107">
        <f>1043+55</f>
        <v>1098</v>
      </c>
      <c r="G9" s="107">
        <f>1234+71</f>
        <v>1305</v>
      </c>
      <c r="H9" s="107">
        <f>1220+49</f>
        <v>1269</v>
      </c>
      <c r="I9" s="107">
        <f>1663+161</f>
        <v>1824</v>
      </c>
      <c r="J9" s="107">
        <f>1566+306</f>
        <v>1872</v>
      </c>
      <c r="K9" s="107">
        <f>1635+187</f>
        <v>1822</v>
      </c>
      <c r="L9" s="107">
        <f>1272+151</f>
        <v>1423</v>
      </c>
      <c r="M9" s="107">
        <f>1134+67</f>
        <v>1201</v>
      </c>
      <c r="N9" s="177">
        <f t="shared" si="1"/>
        <v>17436</v>
      </c>
    </row>
    <row r="10" spans="1:14" ht="13.5" customHeight="1">
      <c r="A10" s="139" t="s">
        <v>117</v>
      </c>
      <c r="B10" s="107">
        <v>435</v>
      </c>
      <c r="C10" s="107">
        <v>362</v>
      </c>
      <c r="D10" s="107">
        <v>465</v>
      </c>
      <c r="E10" s="107">
        <v>265</v>
      </c>
      <c r="F10" s="107">
        <v>110</v>
      </c>
      <c r="G10" s="107">
        <v>141</v>
      </c>
      <c r="H10" s="107">
        <v>140</v>
      </c>
      <c r="I10" s="107">
        <v>299</v>
      </c>
      <c r="J10" s="107">
        <v>459</v>
      </c>
      <c r="K10" s="107">
        <v>499</v>
      </c>
      <c r="L10" s="107">
        <v>447</v>
      </c>
      <c r="M10" s="107">
        <v>366</v>
      </c>
      <c r="N10" s="177">
        <f t="shared" si="1"/>
        <v>3988</v>
      </c>
    </row>
    <row r="11" spans="1:14">
      <c r="A11" s="139" t="s">
        <v>33</v>
      </c>
      <c r="B11" s="107">
        <v>0</v>
      </c>
      <c r="C11" s="107">
        <v>0</v>
      </c>
      <c r="D11" s="107">
        <v>0</v>
      </c>
      <c r="E11" s="107">
        <v>0</v>
      </c>
      <c r="F11" s="107">
        <v>0</v>
      </c>
      <c r="G11" s="107">
        <v>0</v>
      </c>
      <c r="H11" s="107">
        <v>0</v>
      </c>
      <c r="I11" s="107">
        <v>0</v>
      </c>
      <c r="J11" s="107">
        <v>0</v>
      </c>
      <c r="K11" s="107">
        <v>0</v>
      </c>
      <c r="L11" s="107">
        <v>0</v>
      </c>
      <c r="M11" s="107">
        <v>0</v>
      </c>
      <c r="N11" s="177">
        <f t="shared" si="1"/>
        <v>0</v>
      </c>
    </row>
    <row r="12" spans="1:14">
      <c r="A12" s="139" t="s">
        <v>118</v>
      </c>
      <c r="B12" s="107">
        <v>13</v>
      </c>
      <c r="C12" s="107">
        <v>10</v>
      </c>
      <c r="D12" s="107">
        <v>12</v>
      </c>
      <c r="E12" s="107">
        <v>10</v>
      </c>
      <c r="F12" s="107">
        <v>11</v>
      </c>
      <c r="G12" s="107">
        <v>11</v>
      </c>
      <c r="H12" s="107">
        <v>10</v>
      </c>
      <c r="I12" s="107">
        <v>10</v>
      </c>
      <c r="J12" s="107">
        <v>10</v>
      </c>
      <c r="K12" s="107">
        <v>10</v>
      </c>
      <c r="L12" s="107">
        <v>12</v>
      </c>
      <c r="M12" s="107">
        <v>9</v>
      </c>
      <c r="N12" s="177">
        <f t="shared" si="1"/>
        <v>128</v>
      </c>
    </row>
    <row r="13" spans="1:14">
      <c r="A13" s="139" t="s">
        <v>76</v>
      </c>
      <c r="B13" s="107">
        <v>299</v>
      </c>
      <c r="C13" s="107">
        <v>252</v>
      </c>
      <c r="D13" s="107">
        <v>361</v>
      </c>
      <c r="E13" s="107">
        <v>202</v>
      </c>
      <c r="F13" s="107">
        <v>237</v>
      </c>
      <c r="G13" s="107">
        <v>366</v>
      </c>
      <c r="H13" s="107">
        <v>495</v>
      </c>
      <c r="I13" s="107">
        <v>529</v>
      </c>
      <c r="J13" s="107">
        <v>363</v>
      </c>
      <c r="K13" s="107">
        <v>332</v>
      </c>
      <c r="L13" s="107">
        <v>315</v>
      </c>
      <c r="M13" s="107">
        <v>208</v>
      </c>
      <c r="N13" s="177">
        <f t="shared" si="1"/>
        <v>3959</v>
      </c>
    </row>
    <row r="14" spans="1:14">
      <c r="A14" s="139" t="s">
        <v>29</v>
      </c>
      <c r="B14" s="107">
        <v>401</v>
      </c>
      <c r="C14" s="107">
        <v>470</v>
      </c>
      <c r="D14" s="107">
        <v>472</v>
      </c>
      <c r="E14" s="107">
        <v>339</v>
      </c>
      <c r="F14" s="107">
        <v>286</v>
      </c>
      <c r="G14" s="107">
        <v>600</v>
      </c>
      <c r="H14" s="107">
        <v>653</v>
      </c>
      <c r="I14" s="107">
        <v>1014</v>
      </c>
      <c r="J14" s="107">
        <v>1006</v>
      </c>
      <c r="K14" s="107">
        <v>903</v>
      </c>
      <c r="L14" s="107">
        <v>370</v>
      </c>
      <c r="M14" s="107">
        <v>471</v>
      </c>
      <c r="N14" s="177">
        <f t="shared" si="0"/>
        <v>6985</v>
      </c>
    </row>
    <row r="15" spans="1:14">
      <c r="A15" s="3" t="s">
        <v>34</v>
      </c>
      <c r="B15" s="107">
        <v>0</v>
      </c>
      <c r="C15" s="107">
        <v>0</v>
      </c>
      <c r="D15" s="107">
        <v>0</v>
      </c>
      <c r="E15" s="107">
        <v>0</v>
      </c>
      <c r="F15" s="107">
        <v>3844</v>
      </c>
      <c r="G15" s="107">
        <v>2528</v>
      </c>
      <c r="H15" s="107">
        <v>0</v>
      </c>
      <c r="I15" s="107">
        <v>0</v>
      </c>
      <c r="J15" s="107">
        <v>0</v>
      </c>
      <c r="K15" s="107">
        <v>0</v>
      </c>
      <c r="L15" s="107">
        <v>0</v>
      </c>
      <c r="M15" s="107">
        <v>0</v>
      </c>
      <c r="N15" s="177">
        <f>SUM(B15:M15)</f>
        <v>6372</v>
      </c>
    </row>
    <row r="16" spans="1:14">
      <c r="A16" s="139" t="s">
        <v>119</v>
      </c>
      <c r="B16" s="107">
        <v>1</v>
      </c>
      <c r="C16" s="107">
        <v>0</v>
      </c>
      <c r="D16" s="107">
        <v>1</v>
      </c>
      <c r="E16" s="107">
        <v>2</v>
      </c>
      <c r="F16" s="107">
        <v>9</v>
      </c>
      <c r="G16" s="107">
        <v>6</v>
      </c>
      <c r="H16" s="107">
        <v>1</v>
      </c>
      <c r="I16" s="107">
        <v>1</v>
      </c>
      <c r="J16" s="107">
        <v>7</v>
      </c>
      <c r="K16" s="107">
        <v>7</v>
      </c>
      <c r="L16" s="107">
        <v>2</v>
      </c>
      <c r="M16" s="107">
        <v>1</v>
      </c>
      <c r="N16" s="177">
        <f t="shared" si="0"/>
        <v>38</v>
      </c>
    </row>
    <row r="17" spans="1:14">
      <c r="A17" s="139" t="s">
        <v>2</v>
      </c>
      <c r="B17" s="107">
        <v>104</v>
      </c>
      <c r="C17" s="107">
        <v>86</v>
      </c>
      <c r="D17" s="107">
        <v>108</v>
      </c>
      <c r="E17" s="107">
        <v>99</v>
      </c>
      <c r="F17" s="107">
        <v>86</v>
      </c>
      <c r="G17" s="107">
        <v>87</v>
      </c>
      <c r="H17" s="107">
        <v>74</v>
      </c>
      <c r="I17" s="107">
        <v>103</v>
      </c>
      <c r="J17" s="107">
        <v>93</v>
      </c>
      <c r="K17" s="107">
        <v>153</v>
      </c>
      <c r="L17" s="107">
        <v>79</v>
      </c>
      <c r="M17" s="107">
        <v>61</v>
      </c>
      <c r="N17" s="177">
        <f t="shared" si="0"/>
        <v>1133</v>
      </c>
    </row>
    <row r="18" spans="1:14">
      <c r="A18" s="139" t="s">
        <v>30</v>
      </c>
      <c r="B18" s="107">
        <v>0</v>
      </c>
      <c r="C18" s="107">
        <v>0</v>
      </c>
      <c r="D18" s="107">
        <v>0</v>
      </c>
      <c r="E18" s="107">
        <v>0</v>
      </c>
      <c r="F18" s="107">
        <v>0</v>
      </c>
      <c r="G18" s="107">
        <v>0</v>
      </c>
      <c r="H18" s="107">
        <v>0</v>
      </c>
      <c r="I18" s="107">
        <v>0</v>
      </c>
      <c r="J18" s="107">
        <v>0</v>
      </c>
      <c r="K18" s="107">
        <v>0</v>
      </c>
      <c r="L18" s="107">
        <v>0</v>
      </c>
      <c r="M18" s="107">
        <v>0</v>
      </c>
      <c r="N18" s="177">
        <f t="shared" si="0"/>
        <v>0</v>
      </c>
    </row>
    <row r="19" spans="1:14">
      <c r="A19" s="139" t="s">
        <v>120</v>
      </c>
      <c r="B19" s="107">
        <v>541</v>
      </c>
      <c r="C19" s="107">
        <v>455</v>
      </c>
      <c r="D19" s="107">
        <v>651</v>
      </c>
      <c r="E19" s="107">
        <v>437</v>
      </c>
      <c r="F19" s="107">
        <v>276</v>
      </c>
      <c r="G19" s="107">
        <v>270</v>
      </c>
      <c r="H19" s="107">
        <v>223</v>
      </c>
      <c r="I19" s="107">
        <v>348</v>
      </c>
      <c r="J19" s="107">
        <v>688</v>
      </c>
      <c r="K19" s="107">
        <v>697</v>
      </c>
      <c r="L19" s="107">
        <v>491</v>
      </c>
      <c r="M19" s="107">
        <v>298</v>
      </c>
      <c r="N19" s="177">
        <f t="shared" si="0"/>
        <v>5375</v>
      </c>
    </row>
    <row r="20" spans="1:14" ht="30">
      <c r="A20" s="139" t="s">
        <v>122</v>
      </c>
      <c r="B20" s="107">
        <v>869</v>
      </c>
      <c r="C20" s="107">
        <v>680</v>
      </c>
      <c r="D20" s="107">
        <v>928</v>
      </c>
      <c r="E20" s="107">
        <v>421</v>
      </c>
      <c r="F20" s="107">
        <v>43</v>
      </c>
      <c r="G20" s="107">
        <v>31</v>
      </c>
      <c r="H20" s="107">
        <v>35</v>
      </c>
      <c r="I20" s="107">
        <v>200</v>
      </c>
      <c r="J20" s="107">
        <v>751</v>
      </c>
      <c r="K20" s="107">
        <v>789</v>
      </c>
      <c r="L20" s="107">
        <v>696</v>
      </c>
      <c r="M20" s="107">
        <v>388</v>
      </c>
      <c r="N20" s="177">
        <f t="shared" si="0"/>
        <v>5831</v>
      </c>
    </row>
    <row r="21" spans="1:14" ht="30">
      <c r="A21" s="139" t="s">
        <v>121</v>
      </c>
      <c r="B21" s="107">
        <v>748</v>
      </c>
      <c r="C21" s="107">
        <v>665</v>
      </c>
      <c r="D21" s="107">
        <v>802</v>
      </c>
      <c r="E21" s="107">
        <v>394</v>
      </c>
      <c r="F21" s="107">
        <v>25</v>
      </c>
      <c r="G21" s="107">
        <v>203</v>
      </c>
      <c r="H21" s="107">
        <v>450</v>
      </c>
      <c r="I21" s="107">
        <v>365</v>
      </c>
      <c r="J21" s="107">
        <v>779</v>
      </c>
      <c r="K21" s="107">
        <v>684</v>
      </c>
      <c r="L21" s="107">
        <v>571</v>
      </c>
      <c r="M21" s="107">
        <v>396</v>
      </c>
      <c r="N21" s="177">
        <f t="shared" si="0"/>
        <v>6082</v>
      </c>
    </row>
    <row r="22" spans="1:14">
      <c r="A22" s="139" t="s">
        <v>31</v>
      </c>
      <c r="B22" s="107">
        <v>785</v>
      </c>
      <c r="C22" s="107">
        <v>731</v>
      </c>
      <c r="D22" s="107">
        <v>876</v>
      </c>
      <c r="E22" s="107">
        <v>505</v>
      </c>
      <c r="F22" s="107">
        <v>228</v>
      </c>
      <c r="G22" s="107">
        <v>228</v>
      </c>
      <c r="H22" s="107">
        <v>299</v>
      </c>
      <c r="I22" s="107">
        <v>371</v>
      </c>
      <c r="J22" s="107">
        <v>694</v>
      </c>
      <c r="K22" s="107">
        <v>763</v>
      </c>
      <c r="L22" s="107">
        <v>644</v>
      </c>
      <c r="M22" s="107">
        <v>454</v>
      </c>
      <c r="N22" s="177">
        <f t="shared" si="0"/>
        <v>6578</v>
      </c>
    </row>
    <row r="23" spans="1:14">
      <c r="A23" s="139" t="s">
        <v>123</v>
      </c>
      <c r="B23" s="107">
        <v>134</v>
      </c>
      <c r="C23" s="107">
        <v>179</v>
      </c>
      <c r="D23" s="107">
        <v>104</v>
      </c>
      <c r="E23" s="107">
        <v>85</v>
      </c>
      <c r="F23" s="107">
        <v>90</v>
      </c>
      <c r="G23" s="107">
        <v>125</v>
      </c>
      <c r="H23" s="107">
        <v>130</v>
      </c>
      <c r="I23" s="107">
        <v>129</v>
      </c>
      <c r="J23" s="107">
        <v>140</v>
      </c>
      <c r="K23" s="107">
        <v>147</v>
      </c>
      <c r="L23" s="107">
        <v>82</v>
      </c>
      <c r="M23" s="107">
        <v>82</v>
      </c>
      <c r="N23" s="177">
        <f t="shared" si="0"/>
        <v>1427</v>
      </c>
    </row>
    <row r="24" spans="1:14" ht="15.75" thickBot="1">
      <c r="A24" s="139" t="s">
        <v>23</v>
      </c>
      <c r="B24" s="156">
        <v>134</v>
      </c>
      <c r="C24" s="156">
        <v>154</v>
      </c>
      <c r="D24" s="156">
        <v>159</v>
      </c>
      <c r="E24" s="156">
        <v>135</v>
      </c>
      <c r="F24" s="156">
        <v>174</v>
      </c>
      <c r="G24" s="156">
        <v>122</v>
      </c>
      <c r="H24" s="156">
        <v>116</v>
      </c>
      <c r="I24" s="156">
        <v>233</v>
      </c>
      <c r="J24" s="156">
        <v>119</v>
      </c>
      <c r="K24" s="156">
        <v>168</v>
      </c>
      <c r="L24" s="156">
        <v>118</v>
      </c>
      <c r="M24" s="156">
        <v>102</v>
      </c>
      <c r="N24" s="180">
        <f t="shared" si="0"/>
        <v>1734</v>
      </c>
    </row>
    <row r="25" spans="1:14" ht="16.5" thickTop="1" thickBot="1">
      <c r="A25" s="140" t="s">
        <v>45</v>
      </c>
      <c r="B25" s="248">
        <f t="shared" ref="B25:N25" si="2">SUM(B4:B24)</f>
        <v>9103</v>
      </c>
      <c r="C25" s="248">
        <f t="shared" si="2"/>
        <v>8238</v>
      </c>
      <c r="D25" s="248">
        <f t="shared" si="2"/>
        <v>10142</v>
      </c>
      <c r="E25" s="248">
        <f t="shared" si="2"/>
        <v>6958</v>
      </c>
      <c r="F25" s="248">
        <f t="shared" si="2"/>
        <v>8727</v>
      </c>
      <c r="G25" s="248">
        <f t="shared" si="2"/>
        <v>8592</v>
      </c>
      <c r="H25" s="248">
        <f t="shared" si="2"/>
        <v>6250</v>
      </c>
      <c r="I25" s="248">
        <f t="shared" si="2"/>
        <v>7617</v>
      </c>
      <c r="J25" s="248">
        <f t="shared" si="2"/>
        <v>9942</v>
      </c>
      <c r="K25" s="248">
        <f t="shared" si="2"/>
        <v>9952</v>
      </c>
      <c r="L25" s="248">
        <f t="shared" si="2"/>
        <v>7391</v>
      </c>
      <c r="M25" s="248">
        <f t="shared" si="2"/>
        <v>6201</v>
      </c>
      <c r="N25" s="249">
        <f t="shared" si="2"/>
        <v>99113</v>
      </c>
    </row>
    <row r="26" spans="1:14">
      <c r="A26" s="6"/>
      <c r="B26" s="182"/>
      <c r="C26" s="182"/>
      <c r="D26" s="182"/>
      <c r="E26" s="182"/>
      <c r="F26" s="182"/>
      <c r="G26" s="182"/>
      <c r="H26" s="182"/>
      <c r="I26" s="182"/>
      <c r="J26" s="182"/>
      <c r="K26" s="182"/>
      <c r="L26" s="182"/>
      <c r="M26" s="182"/>
      <c r="N26" s="182"/>
    </row>
    <row r="27" spans="1:14" ht="15.75" thickBot="1">
      <c r="A27" s="6" t="s">
        <v>8</v>
      </c>
      <c r="B27" s="182"/>
      <c r="C27" s="182"/>
      <c r="D27" s="182"/>
      <c r="E27" s="182"/>
      <c r="F27" s="182"/>
      <c r="G27" s="182"/>
      <c r="H27" s="182"/>
      <c r="I27" s="182"/>
      <c r="J27" s="182"/>
      <c r="K27" s="182"/>
      <c r="L27" s="182"/>
      <c r="M27" s="182"/>
      <c r="N27" s="182"/>
    </row>
    <row r="28" spans="1:14">
      <c r="A28" s="136" t="s">
        <v>105</v>
      </c>
      <c r="B28" s="105">
        <v>0</v>
      </c>
      <c r="C28" s="105">
        <v>0</v>
      </c>
      <c r="D28" s="105">
        <v>0</v>
      </c>
      <c r="E28" s="105">
        <v>0</v>
      </c>
      <c r="F28" s="105">
        <v>0</v>
      </c>
      <c r="G28" s="105">
        <v>0</v>
      </c>
      <c r="H28" s="105">
        <v>0</v>
      </c>
      <c r="I28" s="105">
        <v>0</v>
      </c>
      <c r="J28" s="105">
        <v>0</v>
      </c>
      <c r="K28" s="105">
        <v>0</v>
      </c>
      <c r="L28" s="105">
        <v>0</v>
      </c>
      <c r="M28" s="105">
        <v>0</v>
      </c>
      <c r="N28" s="176">
        <f>SUM(B28:M28)</f>
        <v>0</v>
      </c>
    </row>
    <row r="29" spans="1:14">
      <c r="A29" s="13" t="s">
        <v>85</v>
      </c>
      <c r="B29" s="107">
        <v>4</v>
      </c>
      <c r="C29" s="107">
        <v>6</v>
      </c>
      <c r="D29" s="107">
        <v>5</v>
      </c>
      <c r="E29" s="107">
        <v>5</v>
      </c>
      <c r="F29" s="107">
        <v>6</v>
      </c>
      <c r="G29" s="107">
        <v>5</v>
      </c>
      <c r="H29" s="107">
        <v>5</v>
      </c>
      <c r="I29" s="107">
        <v>4</v>
      </c>
      <c r="J29" s="107">
        <v>7</v>
      </c>
      <c r="K29" s="107">
        <v>9</v>
      </c>
      <c r="L29" s="107">
        <v>6</v>
      </c>
      <c r="M29" s="107">
        <v>6</v>
      </c>
      <c r="N29" s="177">
        <f t="shared" ref="N29:N36" si="3">SUM(B29:M29)</f>
        <v>68</v>
      </c>
    </row>
    <row r="30" spans="1:14">
      <c r="A30" s="13" t="s">
        <v>106</v>
      </c>
      <c r="B30" s="107">
        <v>2</v>
      </c>
      <c r="C30" s="107">
        <v>3</v>
      </c>
      <c r="D30" s="107">
        <v>3</v>
      </c>
      <c r="E30" s="107">
        <v>3</v>
      </c>
      <c r="F30" s="107"/>
      <c r="G30" s="107">
        <v>2</v>
      </c>
      <c r="H30" s="107">
        <v>0</v>
      </c>
      <c r="I30" s="107">
        <v>0</v>
      </c>
      <c r="J30" s="107">
        <v>1</v>
      </c>
      <c r="K30" s="107">
        <v>4</v>
      </c>
      <c r="L30" s="107">
        <v>3</v>
      </c>
      <c r="M30" s="107">
        <v>3</v>
      </c>
      <c r="N30" s="177">
        <f t="shared" si="3"/>
        <v>24</v>
      </c>
    </row>
    <row r="31" spans="1:14">
      <c r="A31" s="13" t="s">
        <v>107</v>
      </c>
      <c r="B31" s="107">
        <v>97</v>
      </c>
      <c r="C31" s="107">
        <v>115</v>
      </c>
      <c r="D31" s="107">
        <v>108</v>
      </c>
      <c r="E31" s="107">
        <v>111</v>
      </c>
      <c r="F31" s="107">
        <v>79</v>
      </c>
      <c r="G31" s="107">
        <v>74</v>
      </c>
      <c r="H31" s="107">
        <v>80</v>
      </c>
      <c r="I31" s="107">
        <v>93</v>
      </c>
      <c r="J31" s="107">
        <v>69</v>
      </c>
      <c r="K31" s="107">
        <v>75</v>
      </c>
      <c r="L31" s="107">
        <v>67</v>
      </c>
      <c r="M31" s="107">
        <v>63</v>
      </c>
      <c r="N31" s="177">
        <f t="shared" si="3"/>
        <v>1031</v>
      </c>
    </row>
    <row r="32" spans="1:14">
      <c r="A32" s="13" t="s">
        <v>108</v>
      </c>
      <c r="B32" s="107">
        <v>4</v>
      </c>
      <c r="C32" s="107">
        <v>10</v>
      </c>
      <c r="D32" s="107">
        <v>9</v>
      </c>
      <c r="E32" s="107">
        <v>10</v>
      </c>
      <c r="F32" s="107">
        <v>5</v>
      </c>
      <c r="G32" s="107">
        <v>83</v>
      </c>
      <c r="H32" s="107">
        <v>21</v>
      </c>
      <c r="I32" s="107">
        <v>11</v>
      </c>
      <c r="J32" s="107">
        <v>66</v>
      </c>
      <c r="K32" s="107">
        <v>101</v>
      </c>
      <c r="L32" s="107">
        <v>105</v>
      </c>
      <c r="M32" s="107">
        <v>98</v>
      </c>
      <c r="N32" s="177">
        <f t="shared" si="3"/>
        <v>523</v>
      </c>
    </row>
    <row r="33" spans="1:14">
      <c r="A33" s="13" t="s">
        <v>87</v>
      </c>
      <c r="B33" s="107">
        <v>7</v>
      </c>
      <c r="C33" s="107">
        <v>11</v>
      </c>
      <c r="D33" s="107">
        <v>10</v>
      </c>
      <c r="E33" s="107">
        <v>9</v>
      </c>
      <c r="F33" s="107">
        <v>5</v>
      </c>
      <c r="G33" s="107">
        <v>3</v>
      </c>
      <c r="H33" s="107">
        <v>7</v>
      </c>
      <c r="I33" s="107">
        <v>3</v>
      </c>
      <c r="J33" s="107">
        <v>9</v>
      </c>
      <c r="K33" s="107">
        <v>21</v>
      </c>
      <c r="L33" s="107">
        <v>11</v>
      </c>
      <c r="M33" s="107">
        <v>17</v>
      </c>
      <c r="N33" s="177">
        <f t="shared" si="3"/>
        <v>113</v>
      </c>
    </row>
    <row r="34" spans="1:14">
      <c r="A34" s="13" t="s">
        <v>88</v>
      </c>
      <c r="B34" s="107">
        <v>2</v>
      </c>
      <c r="C34" s="107">
        <v>3</v>
      </c>
      <c r="D34" s="107">
        <v>3</v>
      </c>
      <c r="E34" s="107">
        <v>4</v>
      </c>
      <c r="F34" s="107">
        <v>2</v>
      </c>
      <c r="G34" s="107">
        <v>1</v>
      </c>
      <c r="H34" s="107">
        <v>1</v>
      </c>
      <c r="I34" s="107">
        <v>1</v>
      </c>
      <c r="J34" s="107">
        <v>3</v>
      </c>
      <c r="K34" s="107">
        <v>4</v>
      </c>
      <c r="L34" s="107">
        <v>4</v>
      </c>
      <c r="M34" s="107">
        <v>3</v>
      </c>
      <c r="N34" s="177">
        <f t="shared" si="3"/>
        <v>31</v>
      </c>
    </row>
    <row r="35" spans="1:14" ht="15.75" thickBot="1">
      <c r="A35" s="13" t="s">
        <v>109</v>
      </c>
      <c r="B35" s="156">
        <v>3</v>
      </c>
      <c r="C35" s="156">
        <v>4</v>
      </c>
      <c r="D35" s="156">
        <v>4</v>
      </c>
      <c r="E35" s="156">
        <v>4</v>
      </c>
      <c r="F35" s="156"/>
      <c r="G35" s="156">
        <v>4</v>
      </c>
      <c r="H35" s="156">
        <v>3</v>
      </c>
      <c r="I35" s="156">
        <v>3</v>
      </c>
      <c r="J35" s="156">
        <v>4</v>
      </c>
      <c r="K35" s="156">
        <v>4</v>
      </c>
      <c r="L35" s="156">
        <v>4</v>
      </c>
      <c r="M35" s="156">
        <v>4</v>
      </c>
      <c r="N35" s="180">
        <f t="shared" si="3"/>
        <v>41</v>
      </c>
    </row>
    <row r="36" spans="1:14" ht="16.5" thickTop="1" thickBot="1">
      <c r="A36" s="140" t="s">
        <v>46</v>
      </c>
      <c r="B36" s="250">
        <f t="shared" ref="B36:M36" si="4">SUM(B28:B35)</f>
        <v>119</v>
      </c>
      <c r="C36" s="250">
        <f t="shared" si="4"/>
        <v>152</v>
      </c>
      <c r="D36" s="250">
        <f t="shared" si="4"/>
        <v>142</v>
      </c>
      <c r="E36" s="250">
        <f t="shared" si="4"/>
        <v>146</v>
      </c>
      <c r="F36" s="250">
        <f t="shared" si="4"/>
        <v>97</v>
      </c>
      <c r="G36" s="250">
        <f t="shared" si="4"/>
        <v>172</v>
      </c>
      <c r="H36" s="250">
        <f t="shared" si="4"/>
        <v>117</v>
      </c>
      <c r="I36" s="250">
        <f t="shared" si="4"/>
        <v>115</v>
      </c>
      <c r="J36" s="250">
        <f t="shared" si="4"/>
        <v>159</v>
      </c>
      <c r="K36" s="250">
        <f t="shared" si="4"/>
        <v>218</v>
      </c>
      <c r="L36" s="250">
        <f t="shared" si="4"/>
        <v>200</v>
      </c>
      <c r="M36" s="250">
        <f t="shared" si="4"/>
        <v>194</v>
      </c>
      <c r="N36" s="249">
        <f t="shared" si="3"/>
        <v>1831</v>
      </c>
    </row>
    <row r="37" spans="1:14" ht="15.75" thickBot="1">
      <c r="A37" s="6"/>
      <c r="B37" s="204"/>
      <c r="C37" s="204"/>
      <c r="D37" s="204"/>
      <c r="E37" s="204"/>
      <c r="F37" s="204"/>
      <c r="G37" s="204"/>
      <c r="H37" s="204"/>
      <c r="I37" s="204"/>
      <c r="J37" s="204"/>
      <c r="K37" s="204"/>
      <c r="L37" s="204"/>
      <c r="M37" s="204"/>
      <c r="N37" s="182"/>
    </row>
    <row r="38" spans="1:14" ht="15.75" thickBot="1">
      <c r="A38" s="116" t="s">
        <v>20</v>
      </c>
      <c r="B38" s="288"/>
      <c r="C38" s="288">
        <v>195</v>
      </c>
      <c r="D38" s="288"/>
      <c r="E38" s="288">
        <v>230</v>
      </c>
      <c r="F38" s="288"/>
      <c r="G38" s="288">
        <v>190</v>
      </c>
      <c r="H38" s="288"/>
      <c r="I38" s="288">
        <v>80</v>
      </c>
      <c r="J38" s="288"/>
      <c r="K38" s="288">
        <v>85</v>
      </c>
      <c r="L38" s="288">
        <v>260</v>
      </c>
      <c r="M38" s="288">
        <f>230/2</f>
        <v>115</v>
      </c>
      <c r="N38" s="259">
        <f>SUM(B38:L38)</f>
        <v>1040</v>
      </c>
    </row>
    <row r="39" spans="1:14" ht="15.75" thickBot="1">
      <c r="A39" s="6"/>
      <c r="B39" s="159"/>
      <c r="C39" s="159"/>
      <c r="D39" s="159"/>
      <c r="E39" s="159"/>
      <c r="F39" s="159"/>
      <c r="G39" s="159"/>
      <c r="H39" s="159"/>
      <c r="I39" s="159"/>
      <c r="J39" s="159"/>
      <c r="K39" s="159"/>
      <c r="L39" s="159"/>
      <c r="M39" s="159"/>
      <c r="N39" s="183"/>
    </row>
    <row r="40" spans="1:14" ht="15.75" thickBot="1">
      <c r="A40" s="134" t="s">
        <v>67</v>
      </c>
      <c r="B40" s="251">
        <f>B25+B36+B38</f>
        <v>9222</v>
      </c>
      <c r="C40" s="251">
        <f t="shared" ref="C40:N40" si="5">C25+C36+C38</f>
        <v>8585</v>
      </c>
      <c r="D40" s="251">
        <f t="shared" si="5"/>
        <v>10284</v>
      </c>
      <c r="E40" s="251">
        <f t="shared" si="5"/>
        <v>7334</v>
      </c>
      <c r="F40" s="251">
        <f t="shared" si="5"/>
        <v>8824</v>
      </c>
      <c r="G40" s="251">
        <f t="shared" si="5"/>
        <v>8954</v>
      </c>
      <c r="H40" s="251">
        <f t="shared" si="5"/>
        <v>6367</v>
      </c>
      <c r="I40" s="251">
        <f t="shared" si="5"/>
        <v>7812</v>
      </c>
      <c r="J40" s="251">
        <f t="shared" si="5"/>
        <v>10101</v>
      </c>
      <c r="K40" s="251">
        <f t="shared" si="5"/>
        <v>10255</v>
      </c>
      <c r="L40" s="251">
        <f t="shared" si="5"/>
        <v>7851</v>
      </c>
      <c r="M40" s="251">
        <f t="shared" si="5"/>
        <v>6510</v>
      </c>
      <c r="N40" s="251">
        <f t="shared" si="5"/>
        <v>101984</v>
      </c>
    </row>
    <row r="42" spans="1:14">
      <c r="A42" s="89"/>
      <c r="B42" s="124"/>
      <c r="C42" s="124"/>
      <c r="D42" s="124"/>
      <c r="E42" s="124"/>
      <c r="F42" s="124"/>
      <c r="G42" s="124"/>
      <c r="H42" s="124"/>
      <c r="I42" s="124"/>
      <c r="J42" s="124"/>
      <c r="K42" s="124"/>
      <c r="L42" s="124"/>
      <c r="M42" s="124"/>
      <c r="N42" s="125"/>
    </row>
  </sheetData>
  <pageMargins left="0.7" right="0.7" top="0.75" bottom="0.75" header="0.3" footer="0.3"/>
  <pageSetup scale="83"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N44"/>
  <sheetViews>
    <sheetView showGridLines="0" topLeftCell="A16" workbookViewId="0">
      <selection activeCell="A5" sqref="A5"/>
    </sheetView>
  </sheetViews>
  <sheetFormatPr defaultColWidth="8.85546875" defaultRowHeight="15"/>
  <cols>
    <col min="1" max="1" width="27.42578125" style="17" customWidth="1"/>
    <col min="2" max="13" width="9.28515625" style="17" bestFit="1" customWidth="1"/>
    <col min="14" max="14" width="9.42578125" style="17" bestFit="1" customWidth="1"/>
    <col min="15" max="16384" width="8.85546875" style="17"/>
  </cols>
  <sheetData>
    <row r="1" spans="1:14" ht="17.25" thickBot="1">
      <c r="A1" s="152" t="s">
        <v>0</v>
      </c>
      <c r="B1" s="153">
        <v>42736</v>
      </c>
      <c r="C1" s="153">
        <v>42767</v>
      </c>
      <c r="D1" s="153">
        <v>42795</v>
      </c>
      <c r="E1" s="153">
        <v>42826</v>
      </c>
      <c r="F1" s="153">
        <v>42856</v>
      </c>
      <c r="G1" s="153">
        <v>42887</v>
      </c>
      <c r="H1" s="153">
        <v>42917</v>
      </c>
      <c r="I1" s="153">
        <v>42948</v>
      </c>
      <c r="J1" s="153">
        <v>42979</v>
      </c>
      <c r="K1" s="153">
        <v>43009</v>
      </c>
      <c r="L1" s="153">
        <v>43040</v>
      </c>
      <c r="M1" s="153">
        <v>43070</v>
      </c>
      <c r="N1" s="154" t="s">
        <v>131</v>
      </c>
    </row>
    <row r="2" spans="1:14">
      <c r="A2" s="126"/>
      <c r="B2" s="127"/>
      <c r="C2" s="127"/>
      <c r="D2" s="127"/>
      <c r="E2" s="127"/>
      <c r="F2" s="127"/>
      <c r="G2" s="127"/>
      <c r="H2" s="127"/>
      <c r="I2" s="127"/>
      <c r="J2" s="127"/>
      <c r="K2" s="127"/>
      <c r="L2" s="127"/>
      <c r="M2" s="127"/>
      <c r="N2" s="128"/>
    </row>
    <row r="3" spans="1:14" ht="15.75" thickBot="1">
      <c r="A3" s="6" t="s">
        <v>51</v>
      </c>
      <c r="B3" s="127"/>
      <c r="C3" s="127"/>
      <c r="D3" s="127"/>
      <c r="E3" s="127"/>
      <c r="F3" s="127"/>
      <c r="G3" s="127"/>
      <c r="H3" s="127"/>
      <c r="I3" s="127"/>
      <c r="J3" s="127"/>
      <c r="K3" s="127"/>
      <c r="L3" s="127"/>
      <c r="M3" s="127"/>
      <c r="N3" s="128"/>
    </row>
    <row r="4" spans="1:14" ht="30">
      <c r="A4" s="138" t="s">
        <v>133</v>
      </c>
      <c r="B4" s="184" t="s">
        <v>42</v>
      </c>
      <c r="C4" s="184" t="s">
        <v>42</v>
      </c>
      <c r="D4" s="184" t="s">
        <v>42</v>
      </c>
      <c r="E4" s="184">
        <v>2</v>
      </c>
      <c r="F4" s="184">
        <v>80</v>
      </c>
      <c r="G4" s="184">
        <v>80</v>
      </c>
      <c r="H4" s="184">
        <v>2</v>
      </c>
      <c r="I4" s="184">
        <v>80</v>
      </c>
      <c r="J4" s="184">
        <v>6</v>
      </c>
      <c r="K4" s="184">
        <v>8</v>
      </c>
      <c r="L4" s="184">
        <v>4</v>
      </c>
      <c r="M4" s="184">
        <v>3</v>
      </c>
      <c r="N4" s="176">
        <f>SUM(B4:M4)</f>
        <v>265</v>
      </c>
    </row>
    <row r="5" spans="1:14">
      <c r="A5" s="139" t="s">
        <v>25</v>
      </c>
      <c r="B5" s="178" t="s">
        <v>42</v>
      </c>
      <c r="C5" s="178" t="s">
        <v>42</v>
      </c>
      <c r="D5" s="178" t="s">
        <v>42</v>
      </c>
      <c r="E5" s="178" t="s">
        <v>42</v>
      </c>
      <c r="F5" s="178" t="s">
        <v>42</v>
      </c>
      <c r="G5" s="178" t="s">
        <v>42</v>
      </c>
      <c r="H5" s="178" t="s">
        <v>42</v>
      </c>
      <c r="I5" s="178">
        <v>2</v>
      </c>
      <c r="J5" s="178">
        <v>260</v>
      </c>
      <c r="K5" s="178">
        <v>306</v>
      </c>
      <c r="L5" s="178">
        <v>237</v>
      </c>
      <c r="M5" s="178">
        <v>158</v>
      </c>
      <c r="N5" s="177">
        <f t="shared" ref="N5:N25" si="0">SUM(B5:M5)</f>
        <v>963</v>
      </c>
    </row>
    <row r="6" spans="1:14">
      <c r="A6" s="139" t="s">
        <v>24</v>
      </c>
      <c r="B6" s="178">
        <v>881</v>
      </c>
      <c r="C6" s="178">
        <v>616</v>
      </c>
      <c r="D6" s="178">
        <v>698</v>
      </c>
      <c r="E6" s="178">
        <v>549</v>
      </c>
      <c r="F6" s="178">
        <v>541</v>
      </c>
      <c r="G6" s="178">
        <v>374</v>
      </c>
      <c r="H6" s="178">
        <v>361</v>
      </c>
      <c r="I6" s="178">
        <v>1060</v>
      </c>
      <c r="J6" s="178">
        <v>658</v>
      </c>
      <c r="K6" s="178">
        <v>645</v>
      </c>
      <c r="L6" s="178">
        <v>591</v>
      </c>
      <c r="M6" s="178">
        <v>474</v>
      </c>
      <c r="N6" s="177">
        <f t="shared" si="0"/>
        <v>7448</v>
      </c>
    </row>
    <row r="7" spans="1:14">
      <c r="A7" s="139" t="s">
        <v>27</v>
      </c>
      <c r="B7" s="178">
        <v>50</v>
      </c>
      <c r="C7" s="178">
        <v>66</v>
      </c>
      <c r="D7" s="178">
        <v>76</v>
      </c>
      <c r="E7" s="178">
        <v>67</v>
      </c>
      <c r="F7" s="178">
        <v>86</v>
      </c>
      <c r="G7" s="178">
        <v>77</v>
      </c>
      <c r="H7" s="178">
        <v>82</v>
      </c>
      <c r="I7" s="178">
        <v>60</v>
      </c>
      <c r="J7" s="178">
        <v>66</v>
      </c>
      <c r="K7" s="178">
        <v>81</v>
      </c>
      <c r="L7" s="178">
        <v>64</v>
      </c>
      <c r="M7" s="178">
        <v>77</v>
      </c>
      <c r="N7" s="177">
        <f t="shared" si="0"/>
        <v>852</v>
      </c>
    </row>
    <row r="8" spans="1:14">
      <c r="A8" s="139" t="s">
        <v>115</v>
      </c>
      <c r="B8" s="178">
        <v>794</v>
      </c>
      <c r="C8" s="178">
        <v>605</v>
      </c>
      <c r="D8" s="178">
        <v>730</v>
      </c>
      <c r="E8" s="178">
        <v>724</v>
      </c>
      <c r="F8" s="178">
        <v>847</v>
      </c>
      <c r="G8" s="178">
        <v>773</v>
      </c>
      <c r="H8" s="178">
        <v>1004</v>
      </c>
      <c r="I8" s="178">
        <v>556</v>
      </c>
      <c r="J8" s="178">
        <v>483</v>
      </c>
      <c r="K8" s="178">
        <v>661</v>
      </c>
      <c r="L8" s="178">
        <v>691</v>
      </c>
      <c r="M8" s="178">
        <v>919</v>
      </c>
      <c r="N8" s="177">
        <f t="shared" si="0"/>
        <v>8787</v>
      </c>
    </row>
    <row r="9" spans="1:14">
      <c r="A9" s="139" t="s">
        <v>116</v>
      </c>
      <c r="B9" s="178">
        <v>368</v>
      </c>
      <c r="C9" s="178">
        <v>371</v>
      </c>
      <c r="D9" s="178">
        <v>516</v>
      </c>
      <c r="E9" s="178">
        <v>279</v>
      </c>
      <c r="F9" s="178">
        <v>78</v>
      </c>
      <c r="G9" s="178">
        <v>59</v>
      </c>
      <c r="H9" s="178">
        <v>78</v>
      </c>
      <c r="I9" s="178">
        <v>182</v>
      </c>
      <c r="J9" s="178">
        <v>476</v>
      </c>
      <c r="K9" s="178">
        <v>507</v>
      </c>
      <c r="L9" s="178">
        <v>350</v>
      </c>
      <c r="M9" s="178">
        <v>496</v>
      </c>
      <c r="N9" s="177">
        <f t="shared" si="0"/>
        <v>3760</v>
      </c>
    </row>
    <row r="10" spans="1:14">
      <c r="A10" s="139" t="s">
        <v>28</v>
      </c>
      <c r="B10" s="178">
        <v>449</v>
      </c>
      <c r="C10" s="178">
        <v>445</v>
      </c>
      <c r="D10" s="178">
        <v>591</v>
      </c>
      <c r="E10" s="178">
        <v>414</v>
      </c>
      <c r="F10" s="178">
        <v>177</v>
      </c>
      <c r="G10" s="178">
        <v>67</v>
      </c>
      <c r="H10" s="178">
        <v>110</v>
      </c>
      <c r="I10" s="178">
        <v>103</v>
      </c>
      <c r="J10" s="178">
        <v>147</v>
      </c>
      <c r="K10" s="178">
        <v>90</v>
      </c>
      <c r="L10" s="178">
        <v>108</v>
      </c>
      <c r="M10" s="178">
        <v>123</v>
      </c>
      <c r="N10" s="177">
        <f t="shared" si="0"/>
        <v>2824</v>
      </c>
    </row>
    <row r="11" spans="1:14">
      <c r="A11" s="139" t="s">
        <v>81</v>
      </c>
      <c r="B11" s="178">
        <f>1526+171</f>
        <v>1697</v>
      </c>
      <c r="C11" s="178">
        <f>1220+147</f>
        <v>1367</v>
      </c>
      <c r="D11" s="178">
        <f>1485+179</f>
        <v>1664</v>
      </c>
      <c r="E11" s="178">
        <v>1046</v>
      </c>
      <c r="F11" s="178">
        <v>937</v>
      </c>
      <c r="G11" s="178">
        <f>943+26</f>
        <v>969</v>
      </c>
      <c r="H11" s="178">
        <f>1899+288</f>
        <v>2187</v>
      </c>
      <c r="I11" s="178">
        <f>1057+108</f>
        <v>1165</v>
      </c>
      <c r="J11" s="178">
        <f>1575+415</f>
        <v>1990</v>
      </c>
      <c r="K11" s="178">
        <f>1532+236</f>
        <v>1768</v>
      </c>
      <c r="L11" s="178">
        <f>1245+144</f>
        <v>1389</v>
      </c>
      <c r="M11" s="178">
        <f>779+43</f>
        <v>822</v>
      </c>
      <c r="N11" s="177">
        <f t="shared" si="0"/>
        <v>17001</v>
      </c>
    </row>
    <row r="12" spans="1:14">
      <c r="A12" s="139" t="s">
        <v>117</v>
      </c>
      <c r="B12" s="178">
        <v>688</v>
      </c>
      <c r="C12" s="178">
        <v>279</v>
      </c>
      <c r="D12" s="178">
        <v>519</v>
      </c>
      <c r="E12" s="178">
        <v>276</v>
      </c>
      <c r="F12" s="178">
        <v>185</v>
      </c>
      <c r="G12" s="178">
        <v>61</v>
      </c>
      <c r="H12" s="178">
        <v>100</v>
      </c>
      <c r="I12" s="178">
        <v>144</v>
      </c>
      <c r="J12" s="178">
        <v>430</v>
      </c>
      <c r="K12" s="178">
        <v>484</v>
      </c>
      <c r="L12" s="178">
        <v>450</v>
      </c>
      <c r="M12" s="178">
        <v>220</v>
      </c>
      <c r="N12" s="177">
        <f t="shared" si="0"/>
        <v>3836</v>
      </c>
    </row>
    <row r="13" spans="1:14">
      <c r="A13" s="139" t="s">
        <v>33</v>
      </c>
      <c r="B13" s="178">
        <v>0</v>
      </c>
      <c r="C13" s="178">
        <v>0</v>
      </c>
      <c r="D13" s="178">
        <v>0</v>
      </c>
      <c r="E13" s="178">
        <v>0</v>
      </c>
      <c r="F13" s="178">
        <v>0</v>
      </c>
      <c r="G13" s="178">
        <v>0</v>
      </c>
      <c r="H13" s="178">
        <v>0</v>
      </c>
      <c r="I13" s="178">
        <v>0</v>
      </c>
      <c r="J13" s="178">
        <v>0</v>
      </c>
      <c r="K13" s="178">
        <v>0</v>
      </c>
      <c r="L13" s="178">
        <v>0</v>
      </c>
      <c r="M13" s="178">
        <v>0</v>
      </c>
      <c r="N13" s="177">
        <f t="shared" si="0"/>
        <v>0</v>
      </c>
    </row>
    <row r="14" spans="1:14">
      <c r="A14" s="139" t="s">
        <v>118</v>
      </c>
      <c r="B14" s="178">
        <v>15</v>
      </c>
      <c r="C14" s="178">
        <v>16</v>
      </c>
      <c r="D14" s="178">
        <v>11</v>
      </c>
      <c r="E14" s="178">
        <v>8</v>
      </c>
      <c r="F14" s="178">
        <v>12</v>
      </c>
      <c r="G14" s="178">
        <v>12</v>
      </c>
      <c r="H14" s="178">
        <v>12</v>
      </c>
      <c r="I14" s="178">
        <v>13</v>
      </c>
      <c r="J14" s="178">
        <v>13</v>
      </c>
      <c r="K14" s="178">
        <v>11</v>
      </c>
      <c r="L14" s="178">
        <v>11</v>
      </c>
      <c r="M14" s="178">
        <v>7</v>
      </c>
      <c r="N14" s="177">
        <f t="shared" si="0"/>
        <v>141</v>
      </c>
    </row>
    <row r="15" spans="1:14">
      <c r="A15" s="139" t="s">
        <v>76</v>
      </c>
      <c r="B15" s="178">
        <v>299</v>
      </c>
      <c r="C15" s="178">
        <v>175</v>
      </c>
      <c r="D15" s="178">
        <v>299</v>
      </c>
      <c r="E15" s="178">
        <v>161</v>
      </c>
      <c r="F15" s="178">
        <v>115</v>
      </c>
      <c r="G15" s="178">
        <v>228</v>
      </c>
      <c r="H15" s="178">
        <v>341</v>
      </c>
      <c r="I15" s="178">
        <v>280</v>
      </c>
      <c r="J15" s="178">
        <v>476</v>
      </c>
      <c r="K15" s="178">
        <v>474</v>
      </c>
      <c r="L15" s="178">
        <v>340</v>
      </c>
      <c r="M15" s="178">
        <v>233</v>
      </c>
      <c r="N15" s="177">
        <f t="shared" si="0"/>
        <v>3421</v>
      </c>
    </row>
    <row r="16" spans="1:14">
      <c r="A16" s="139" t="s">
        <v>29</v>
      </c>
      <c r="B16" s="178">
        <v>600</v>
      </c>
      <c r="C16" s="178">
        <v>539</v>
      </c>
      <c r="D16" s="178">
        <v>280</v>
      </c>
      <c r="E16" s="178">
        <v>225</v>
      </c>
      <c r="F16" s="178">
        <v>344</v>
      </c>
      <c r="G16" s="178">
        <v>451</v>
      </c>
      <c r="H16" s="178">
        <v>606</v>
      </c>
      <c r="I16" s="178">
        <v>490</v>
      </c>
      <c r="J16" s="178">
        <v>436</v>
      </c>
      <c r="K16" s="178">
        <v>385</v>
      </c>
      <c r="L16" s="178">
        <v>469</v>
      </c>
      <c r="M16" s="178">
        <v>690</v>
      </c>
      <c r="N16" s="177">
        <f t="shared" si="0"/>
        <v>5515</v>
      </c>
    </row>
    <row r="17" spans="1:14">
      <c r="A17" s="139" t="s">
        <v>119</v>
      </c>
      <c r="B17" s="178">
        <v>2</v>
      </c>
      <c r="C17" s="178">
        <v>1</v>
      </c>
      <c r="D17" s="178">
        <v>1</v>
      </c>
      <c r="E17" s="178">
        <v>3</v>
      </c>
      <c r="F17" s="178">
        <v>5</v>
      </c>
      <c r="G17" s="178">
        <v>2</v>
      </c>
      <c r="H17" s="178">
        <v>0</v>
      </c>
      <c r="I17" s="178">
        <v>1</v>
      </c>
      <c r="J17" s="178">
        <v>1</v>
      </c>
      <c r="K17" s="178">
        <v>1</v>
      </c>
      <c r="L17" s="178">
        <v>2</v>
      </c>
      <c r="M17" s="178">
        <v>2</v>
      </c>
      <c r="N17" s="177">
        <f t="shared" si="0"/>
        <v>21</v>
      </c>
    </row>
    <row r="18" spans="1:14">
      <c r="A18" s="139" t="s">
        <v>2</v>
      </c>
      <c r="B18" s="178">
        <v>239</v>
      </c>
      <c r="C18" s="178">
        <v>155</v>
      </c>
      <c r="D18" s="178">
        <v>104</v>
      </c>
      <c r="E18" s="178">
        <v>78</v>
      </c>
      <c r="F18" s="178">
        <v>99</v>
      </c>
      <c r="G18" s="178">
        <v>69</v>
      </c>
      <c r="H18" s="178">
        <v>90</v>
      </c>
      <c r="I18" s="178">
        <v>81</v>
      </c>
      <c r="J18" s="178">
        <v>110</v>
      </c>
      <c r="K18" s="178">
        <v>168</v>
      </c>
      <c r="L18" s="178">
        <v>97</v>
      </c>
      <c r="M18" s="178">
        <v>102</v>
      </c>
      <c r="N18" s="177">
        <f t="shared" si="0"/>
        <v>1392</v>
      </c>
    </row>
    <row r="19" spans="1:14">
      <c r="A19" s="139" t="s">
        <v>30</v>
      </c>
      <c r="B19" s="178">
        <v>0</v>
      </c>
      <c r="C19" s="178">
        <v>0</v>
      </c>
      <c r="D19" s="178">
        <v>0</v>
      </c>
      <c r="E19" s="178">
        <v>0</v>
      </c>
      <c r="F19" s="178">
        <v>0</v>
      </c>
      <c r="G19" s="178">
        <v>0</v>
      </c>
      <c r="H19" s="178">
        <v>0</v>
      </c>
      <c r="I19" s="178">
        <v>0</v>
      </c>
      <c r="J19" s="178">
        <v>0</v>
      </c>
      <c r="K19" s="178">
        <v>0</v>
      </c>
      <c r="L19" s="178">
        <v>0</v>
      </c>
      <c r="M19" s="178">
        <v>0</v>
      </c>
      <c r="N19" s="177">
        <f t="shared" si="0"/>
        <v>0</v>
      </c>
    </row>
    <row r="20" spans="1:14">
      <c r="A20" s="139" t="s">
        <v>120</v>
      </c>
      <c r="B20" s="178">
        <v>320</v>
      </c>
      <c r="C20" s="178">
        <v>845</v>
      </c>
      <c r="D20" s="178">
        <v>539</v>
      </c>
      <c r="E20" s="178">
        <v>417</v>
      </c>
      <c r="F20" s="178">
        <v>313</v>
      </c>
      <c r="G20" s="178">
        <v>220</v>
      </c>
      <c r="H20" s="178">
        <v>274</v>
      </c>
      <c r="I20" s="178">
        <v>310</v>
      </c>
      <c r="J20" s="178">
        <v>883</v>
      </c>
      <c r="K20" s="178">
        <v>712</v>
      </c>
      <c r="L20" s="178">
        <v>700</v>
      </c>
      <c r="M20" s="178">
        <v>294</v>
      </c>
      <c r="N20" s="177">
        <f t="shared" si="0"/>
        <v>5827</v>
      </c>
    </row>
    <row r="21" spans="1:14" ht="30">
      <c r="A21" s="139" t="s">
        <v>122</v>
      </c>
      <c r="B21" s="178">
        <v>804</v>
      </c>
      <c r="C21" s="178">
        <v>593</v>
      </c>
      <c r="D21" s="178">
        <v>873</v>
      </c>
      <c r="E21" s="178">
        <v>420</v>
      </c>
      <c r="F21" s="178">
        <v>69</v>
      </c>
      <c r="G21" s="178">
        <v>45</v>
      </c>
      <c r="H21" s="178">
        <v>77</v>
      </c>
      <c r="I21" s="178">
        <v>198</v>
      </c>
      <c r="J21" s="178">
        <v>757</v>
      </c>
      <c r="K21" s="178">
        <v>717</v>
      </c>
      <c r="L21" s="178">
        <v>4089</v>
      </c>
      <c r="M21" s="178">
        <v>588</v>
      </c>
      <c r="N21" s="177">
        <f t="shared" si="0"/>
        <v>9230</v>
      </c>
    </row>
    <row r="22" spans="1:14" ht="30">
      <c r="A22" s="139" t="s">
        <v>121</v>
      </c>
      <c r="B22" s="178">
        <v>756</v>
      </c>
      <c r="C22" s="178">
        <v>626</v>
      </c>
      <c r="D22" s="178">
        <v>792</v>
      </c>
      <c r="E22" s="178">
        <v>385</v>
      </c>
      <c r="F22" s="178">
        <v>53</v>
      </c>
      <c r="G22" s="178">
        <v>63</v>
      </c>
      <c r="H22" s="178">
        <v>577</v>
      </c>
      <c r="I22" s="178">
        <v>444</v>
      </c>
      <c r="J22" s="178">
        <v>934</v>
      </c>
      <c r="K22" s="178">
        <v>582</v>
      </c>
      <c r="L22" s="178">
        <v>421</v>
      </c>
      <c r="M22" s="178">
        <v>609</v>
      </c>
      <c r="N22" s="177">
        <f t="shared" si="0"/>
        <v>6242</v>
      </c>
    </row>
    <row r="23" spans="1:14">
      <c r="A23" s="139" t="s">
        <v>31</v>
      </c>
      <c r="B23" s="178">
        <v>745</v>
      </c>
      <c r="C23" s="178">
        <v>576</v>
      </c>
      <c r="D23" s="178">
        <v>753</v>
      </c>
      <c r="E23" s="178">
        <v>461</v>
      </c>
      <c r="F23" s="178">
        <v>274</v>
      </c>
      <c r="G23" s="178">
        <v>267</v>
      </c>
      <c r="H23" s="178">
        <v>264</v>
      </c>
      <c r="I23" s="178">
        <v>363</v>
      </c>
      <c r="J23" s="178">
        <v>628</v>
      </c>
      <c r="K23" s="178">
        <v>699</v>
      </c>
      <c r="L23" s="178">
        <v>655</v>
      </c>
      <c r="M23" s="178">
        <v>449</v>
      </c>
      <c r="N23" s="177">
        <f t="shared" si="0"/>
        <v>6134</v>
      </c>
    </row>
    <row r="24" spans="1:14">
      <c r="A24" s="139" t="s">
        <v>123</v>
      </c>
      <c r="B24" s="178">
        <v>170</v>
      </c>
      <c r="C24" s="178">
        <v>91</v>
      </c>
      <c r="D24" s="178">
        <v>91</v>
      </c>
      <c r="E24" s="178">
        <v>58</v>
      </c>
      <c r="F24" s="178">
        <v>102</v>
      </c>
      <c r="G24" s="178">
        <v>81</v>
      </c>
      <c r="H24" s="178">
        <v>125</v>
      </c>
      <c r="I24" s="178">
        <v>85</v>
      </c>
      <c r="J24" s="178">
        <v>116</v>
      </c>
      <c r="K24" s="178">
        <v>136</v>
      </c>
      <c r="L24" s="178">
        <v>74</v>
      </c>
      <c r="M24" s="178">
        <v>130</v>
      </c>
      <c r="N24" s="177">
        <f t="shared" si="0"/>
        <v>1259</v>
      </c>
    </row>
    <row r="25" spans="1:14" ht="15.75" thickBot="1">
      <c r="A25" s="139" t="s">
        <v>23</v>
      </c>
      <c r="B25" s="179">
        <v>221</v>
      </c>
      <c r="C25" s="179">
        <v>171</v>
      </c>
      <c r="D25" s="179">
        <v>190</v>
      </c>
      <c r="E25" s="179">
        <v>135</v>
      </c>
      <c r="F25" s="179">
        <v>151</v>
      </c>
      <c r="G25" s="179">
        <v>140</v>
      </c>
      <c r="H25" s="179">
        <v>167</v>
      </c>
      <c r="I25" s="179">
        <v>127</v>
      </c>
      <c r="J25" s="179">
        <v>149</v>
      </c>
      <c r="K25" s="179">
        <v>200</v>
      </c>
      <c r="L25" s="179">
        <v>186</v>
      </c>
      <c r="M25" s="179">
        <v>135</v>
      </c>
      <c r="N25" s="180">
        <f t="shared" si="0"/>
        <v>1972</v>
      </c>
    </row>
    <row r="26" spans="1:14" ht="16.5" thickTop="1" thickBot="1">
      <c r="A26" s="140" t="s">
        <v>45</v>
      </c>
      <c r="B26" s="248">
        <f t="shared" ref="B26:N26" si="1">SUM(B4:B25)</f>
        <v>9098</v>
      </c>
      <c r="C26" s="248">
        <f t="shared" si="1"/>
        <v>7537</v>
      </c>
      <c r="D26" s="248">
        <f t="shared" si="1"/>
        <v>8727</v>
      </c>
      <c r="E26" s="248">
        <f t="shared" si="1"/>
        <v>5708</v>
      </c>
      <c r="F26" s="248">
        <f t="shared" si="1"/>
        <v>4468</v>
      </c>
      <c r="G26" s="248">
        <f t="shared" si="1"/>
        <v>4038</v>
      </c>
      <c r="H26" s="248">
        <f t="shared" si="1"/>
        <v>6457</v>
      </c>
      <c r="I26" s="248">
        <f t="shared" si="1"/>
        <v>5744</v>
      </c>
      <c r="J26" s="248">
        <f t="shared" si="1"/>
        <v>9019</v>
      </c>
      <c r="K26" s="248">
        <f t="shared" si="1"/>
        <v>8635</v>
      </c>
      <c r="L26" s="248">
        <f t="shared" si="1"/>
        <v>10928</v>
      </c>
      <c r="M26" s="248">
        <f t="shared" si="1"/>
        <v>6531</v>
      </c>
      <c r="N26" s="249">
        <f t="shared" si="1"/>
        <v>86890</v>
      </c>
    </row>
    <row r="27" spans="1:14">
      <c r="A27" s="126"/>
      <c r="B27" s="182"/>
      <c r="C27" s="182"/>
      <c r="D27" s="182"/>
      <c r="E27" s="182"/>
      <c r="F27" s="182"/>
      <c r="G27" s="182"/>
      <c r="H27" s="182"/>
      <c r="I27" s="182"/>
      <c r="J27" s="182"/>
      <c r="K27" s="182"/>
      <c r="L27" s="182"/>
      <c r="M27" s="182"/>
      <c r="N27" s="182"/>
    </row>
    <row r="28" spans="1:14" ht="15.75" thickBot="1">
      <c r="A28" s="6" t="s">
        <v>8</v>
      </c>
      <c r="B28" s="182"/>
      <c r="C28" s="182"/>
      <c r="D28" s="182"/>
      <c r="E28" s="182"/>
      <c r="F28" s="182"/>
      <c r="G28" s="182"/>
      <c r="H28" s="182"/>
      <c r="I28" s="182"/>
      <c r="J28" s="182"/>
      <c r="K28" s="182"/>
      <c r="L28" s="182"/>
      <c r="M28" s="182"/>
      <c r="N28" s="182"/>
    </row>
    <row r="29" spans="1:14">
      <c r="A29" s="136" t="s">
        <v>105</v>
      </c>
      <c r="B29" s="184">
        <v>0</v>
      </c>
      <c r="C29" s="184">
        <v>0</v>
      </c>
      <c r="D29" s="184">
        <v>0</v>
      </c>
      <c r="E29" s="184">
        <v>0</v>
      </c>
      <c r="F29" s="184">
        <v>0</v>
      </c>
      <c r="G29" s="184">
        <v>0</v>
      </c>
      <c r="H29" s="184">
        <v>0</v>
      </c>
      <c r="I29" s="184">
        <v>0</v>
      </c>
      <c r="J29" s="184">
        <v>0</v>
      </c>
      <c r="K29" s="184">
        <v>0</v>
      </c>
      <c r="L29" s="184">
        <v>0</v>
      </c>
      <c r="M29" s="184">
        <v>0</v>
      </c>
      <c r="N29" s="176">
        <f>SUM(B29:M29)</f>
        <v>0</v>
      </c>
    </row>
    <row r="30" spans="1:14">
      <c r="A30" s="13" t="s">
        <v>85</v>
      </c>
      <c r="B30" s="178">
        <v>4</v>
      </c>
      <c r="C30" s="178">
        <v>8</v>
      </c>
      <c r="D30" s="178">
        <v>49</v>
      </c>
      <c r="E30" s="178">
        <v>5</v>
      </c>
      <c r="F30" s="178">
        <v>6</v>
      </c>
      <c r="G30" s="178">
        <v>5</v>
      </c>
      <c r="H30" s="178">
        <v>8</v>
      </c>
      <c r="I30" s="178">
        <v>15</v>
      </c>
      <c r="J30" s="178">
        <v>16</v>
      </c>
      <c r="K30" s="178">
        <v>15</v>
      </c>
      <c r="L30" s="178">
        <v>38</v>
      </c>
      <c r="M30" s="178">
        <v>76</v>
      </c>
      <c r="N30" s="177">
        <f t="shared" ref="N30:N37" si="2">SUM(B30:M30)</f>
        <v>245</v>
      </c>
    </row>
    <row r="31" spans="1:14">
      <c r="A31" s="13" t="s">
        <v>106</v>
      </c>
      <c r="B31" s="178">
        <v>3</v>
      </c>
      <c r="C31" s="178">
        <v>4</v>
      </c>
      <c r="D31" s="178">
        <v>3</v>
      </c>
      <c r="E31" s="178">
        <v>2</v>
      </c>
      <c r="F31" s="178">
        <v>2</v>
      </c>
      <c r="G31" s="178">
        <v>1</v>
      </c>
      <c r="H31" s="178">
        <v>2</v>
      </c>
      <c r="I31" s="178">
        <v>1</v>
      </c>
      <c r="J31" s="178">
        <v>2</v>
      </c>
      <c r="K31" s="178">
        <v>3</v>
      </c>
      <c r="L31" s="178">
        <v>3</v>
      </c>
      <c r="M31" s="178">
        <v>2</v>
      </c>
      <c r="N31" s="177">
        <f t="shared" si="2"/>
        <v>28</v>
      </c>
    </row>
    <row r="32" spans="1:14">
      <c r="A32" s="13" t="s">
        <v>107</v>
      </c>
      <c r="B32" s="178">
        <v>62</v>
      </c>
      <c r="C32" s="178">
        <v>80</v>
      </c>
      <c r="D32" s="178">
        <v>85</v>
      </c>
      <c r="E32" s="178">
        <v>87</v>
      </c>
      <c r="F32" s="178">
        <v>56</v>
      </c>
      <c r="G32" s="178">
        <v>44</v>
      </c>
      <c r="H32" s="178">
        <v>52</v>
      </c>
      <c r="I32" s="178">
        <v>44</v>
      </c>
      <c r="J32" s="178">
        <v>75</v>
      </c>
      <c r="K32" s="178">
        <v>79</v>
      </c>
      <c r="L32" s="178">
        <v>77</v>
      </c>
      <c r="M32" s="178">
        <v>66</v>
      </c>
      <c r="N32" s="177">
        <f t="shared" si="2"/>
        <v>807</v>
      </c>
    </row>
    <row r="33" spans="1:14">
      <c r="A33" s="13" t="s">
        <v>108</v>
      </c>
      <c r="B33" s="178">
        <v>81</v>
      </c>
      <c r="C33" s="178">
        <v>124</v>
      </c>
      <c r="D33" s="178">
        <v>127</v>
      </c>
      <c r="E33" s="178">
        <v>127</v>
      </c>
      <c r="F33" s="178">
        <v>46</v>
      </c>
      <c r="G33" s="178">
        <v>30</v>
      </c>
      <c r="H33" s="178">
        <v>37</v>
      </c>
      <c r="I33" s="178">
        <v>47</v>
      </c>
      <c r="J33" s="178">
        <v>92</v>
      </c>
      <c r="K33" s="178">
        <v>113</v>
      </c>
      <c r="L33" s="178">
        <v>110</v>
      </c>
      <c r="M33" s="178">
        <v>99</v>
      </c>
      <c r="N33" s="177">
        <f t="shared" si="2"/>
        <v>1033</v>
      </c>
    </row>
    <row r="34" spans="1:14">
      <c r="A34" s="13" t="s">
        <v>87</v>
      </c>
      <c r="B34" s="178">
        <v>6</v>
      </c>
      <c r="C34" s="178">
        <v>11</v>
      </c>
      <c r="D34" s="178">
        <v>12</v>
      </c>
      <c r="E34" s="178">
        <v>12</v>
      </c>
      <c r="F34" s="178">
        <v>7</v>
      </c>
      <c r="G34" s="178">
        <v>6</v>
      </c>
      <c r="H34" s="178">
        <v>4</v>
      </c>
      <c r="I34" s="178">
        <v>4</v>
      </c>
      <c r="J34" s="178">
        <v>10</v>
      </c>
      <c r="K34" s="178">
        <v>14</v>
      </c>
      <c r="L34" s="178">
        <v>16</v>
      </c>
      <c r="M34" s="178">
        <v>15</v>
      </c>
      <c r="N34" s="177">
        <f t="shared" si="2"/>
        <v>117</v>
      </c>
    </row>
    <row r="35" spans="1:14">
      <c r="A35" s="13" t="s">
        <v>88</v>
      </c>
      <c r="B35" s="178">
        <v>3</v>
      </c>
      <c r="C35" s="178">
        <v>4</v>
      </c>
      <c r="D35" s="178">
        <v>3</v>
      </c>
      <c r="E35" s="178">
        <v>118</v>
      </c>
      <c r="F35" s="178">
        <v>1</v>
      </c>
      <c r="G35" s="178">
        <v>1</v>
      </c>
      <c r="H35" s="178">
        <v>1</v>
      </c>
      <c r="I35" s="178">
        <v>0</v>
      </c>
      <c r="J35" s="178">
        <v>0</v>
      </c>
      <c r="K35" s="178">
        <v>1</v>
      </c>
      <c r="L35" s="178">
        <v>0</v>
      </c>
      <c r="M35" s="178">
        <v>4</v>
      </c>
      <c r="N35" s="177">
        <f t="shared" si="2"/>
        <v>136</v>
      </c>
    </row>
    <row r="36" spans="1:14" ht="15.75" thickBot="1">
      <c r="A36" s="13" t="s">
        <v>109</v>
      </c>
      <c r="B36" s="179">
        <v>4</v>
      </c>
      <c r="C36" s="179">
        <v>7</v>
      </c>
      <c r="D36" s="179">
        <v>3</v>
      </c>
      <c r="E36" s="179">
        <v>3</v>
      </c>
      <c r="F36" s="179">
        <v>2</v>
      </c>
      <c r="G36" s="179">
        <v>1</v>
      </c>
      <c r="H36" s="179">
        <v>2</v>
      </c>
      <c r="I36" s="179">
        <v>1</v>
      </c>
      <c r="J36" s="179">
        <v>2</v>
      </c>
      <c r="K36" s="179">
        <v>32</v>
      </c>
      <c r="L36" s="179">
        <v>56</v>
      </c>
      <c r="M36" s="179">
        <v>17</v>
      </c>
      <c r="N36" s="180">
        <f t="shared" si="2"/>
        <v>130</v>
      </c>
    </row>
    <row r="37" spans="1:14" ht="16.5" thickTop="1" thickBot="1">
      <c r="A37" s="137" t="s">
        <v>46</v>
      </c>
      <c r="B37" s="248">
        <f>SUM(B29:B36)</f>
        <v>163</v>
      </c>
      <c r="C37" s="248">
        <f t="shared" ref="C37:M37" si="3">SUM(C29:C36)</f>
        <v>238</v>
      </c>
      <c r="D37" s="248">
        <f t="shared" si="3"/>
        <v>282</v>
      </c>
      <c r="E37" s="248">
        <f t="shared" si="3"/>
        <v>354</v>
      </c>
      <c r="F37" s="248">
        <f t="shared" si="3"/>
        <v>120</v>
      </c>
      <c r="G37" s="248">
        <f t="shared" si="3"/>
        <v>88</v>
      </c>
      <c r="H37" s="248">
        <f t="shared" si="3"/>
        <v>106</v>
      </c>
      <c r="I37" s="248">
        <f t="shared" si="3"/>
        <v>112</v>
      </c>
      <c r="J37" s="248">
        <f t="shared" si="3"/>
        <v>197</v>
      </c>
      <c r="K37" s="248">
        <f t="shared" si="3"/>
        <v>257</v>
      </c>
      <c r="L37" s="248">
        <f t="shared" si="3"/>
        <v>300</v>
      </c>
      <c r="M37" s="248">
        <f t="shared" si="3"/>
        <v>279</v>
      </c>
      <c r="N37" s="249">
        <f t="shared" si="2"/>
        <v>2496</v>
      </c>
    </row>
    <row r="38" spans="1:14" ht="15.75" thickBot="1">
      <c r="A38" s="129"/>
      <c r="B38" s="183"/>
      <c r="C38" s="183"/>
      <c r="D38" s="183"/>
      <c r="E38" s="183"/>
      <c r="F38" s="183"/>
      <c r="G38" s="183"/>
      <c r="H38" s="183"/>
      <c r="I38" s="183"/>
      <c r="J38" s="183"/>
      <c r="K38" s="183"/>
      <c r="L38" s="183"/>
      <c r="M38" s="183"/>
      <c r="N38" s="183"/>
    </row>
    <row r="39" spans="1:14" ht="15.75" thickBot="1">
      <c r="A39" s="135" t="s">
        <v>20</v>
      </c>
      <c r="B39" s="258">
        <f>230/2</f>
        <v>115</v>
      </c>
      <c r="C39" s="258">
        <v>220</v>
      </c>
      <c r="D39" s="258"/>
      <c r="E39" s="258">
        <v>225</v>
      </c>
      <c r="F39" s="258"/>
      <c r="G39" s="258">
        <v>70</v>
      </c>
      <c r="H39" s="258"/>
      <c r="I39" s="258">
        <v>60</v>
      </c>
      <c r="J39" s="258"/>
      <c r="K39" s="258">
        <v>310</v>
      </c>
      <c r="L39" s="258"/>
      <c r="M39" s="258">
        <f>275/2</f>
        <v>137.5</v>
      </c>
      <c r="N39" s="259">
        <f>SUM(B39:M39)</f>
        <v>1137.5</v>
      </c>
    </row>
    <row r="40" spans="1:14" ht="15.75" thickBot="1">
      <c r="A40" s="129"/>
      <c r="B40" s="183"/>
      <c r="C40" s="183"/>
      <c r="D40" s="183"/>
      <c r="E40" s="183"/>
      <c r="F40" s="183"/>
      <c r="G40" s="183"/>
      <c r="H40" s="183"/>
      <c r="I40" s="183"/>
      <c r="J40" s="183"/>
      <c r="K40" s="183"/>
      <c r="L40" s="183"/>
      <c r="M40" s="183"/>
      <c r="N40" s="183"/>
    </row>
    <row r="41" spans="1:14" ht="15.75" thickBot="1">
      <c r="A41" s="134" t="s">
        <v>67</v>
      </c>
      <c r="B41" s="251">
        <f t="shared" ref="B41:N41" si="4">B26+B37+B39</f>
        <v>9376</v>
      </c>
      <c r="C41" s="251">
        <f t="shared" si="4"/>
        <v>7995</v>
      </c>
      <c r="D41" s="251">
        <f t="shared" si="4"/>
        <v>9009</v>
      </c>
      <c r="E41" s="251">
        <f t="shared" si="4"/>
        <v>6287</v>
      </c>
      <c r="F41" s="251">
        <f t="shared" si="4"/>
        <v>4588</v>
      </c>
      <c r="G41" s="251">
        <f t="shared" si="4"/>
        <v>4196</v>
      </c>
      <c r="H41" s="251">
        <f t="shared" si="4"/>
        <v>6563</v>
      </c>
      <c r="I41" s="251">
        <f t="shared" si="4"/>
        <v>5916</v>
      </c>
      <c r="J41" s="251">
        <f t="shared" si="4"/>
        <v>9216</v>
      </c>
      <c r="K41" s="251">
        <f t="shared" si="4"/>
        <v>9202</v>
      </c>
      <c r="L41" s="251">
        <f t="shared" si="4"/>
        <v>11228</v>
      </c>
      <c r="M41" s="251">
        <f t="shared" si="4"/>
        <v>6947.5</v>
      </c>
      <c r="N41" s="252">
        <f t="shared" si="4"/>
        <v>90523.5</v>
      </c>
    </row>
    <row r="43" spans="1:14">
      <c r="L43" s="22"/>
    </row>
    <row r="44" spans="1:14">
      <c r="L44" s="22"/>
    </row>
  </sheetData>
  <pageMargins left="0.7" right="0.7" top="0.75" bottom="0.75" header="0.3" footer="0.3"/>
  <pageSetup scale="77"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N41"/>
  <sheetViews>
    <sheetView showGridLines="0" topLeftCell="A10" workbookViewId="0">
      <selection activeCell="C39" sqref="C39"/>
    </sheetView>
  </sheetViews>
  <sheetFormatPr defaultColWidth="8.85546875" defaultRowHeight="15"/>
  <cols>
    <col min="1" max="1" width="27.7109375" style="74" customWidth="1"/>
    <col min="2" max="13" width="9.28515625" style="17" bestFit="1" customWidth="1"/>
    <col min="14" max="14" width="10.140625" style="17" bestFit="1" customWidth="1"/>
    <col min="15" max="16384" width="8.85546875" style="17"/>
  </cols>
  <sheetData>
    <row r="1" spans="1:14" ht="17.25" thickBot="1">
      <c r="A1" s="152" t="s">
        <v>0</v>
      </c>
      <c r="B1" s="153">
        <v>43101</v>
      </c>
      <c r="C1" s="153">
        <v>43132</v>
      </c>
      <c r="D1" s="153">
        <v>43160</v>
      </c>
      <c r="E1" s="153">
        <v>43191</v>
      </c>
      <c r="F1" s="153">
        <v>43221</v>
      </c>
      <c r="G1" s="153">
        <v>43252</v>
      </c>
      <c r="H1" s="153">
        <v>43282</v>
      </c>
      <c r="I1" s="153">
        <v>43313</v>
      </c>
      <c r="J1" s="153">
        <v>43344</v>
      </c>
      <c r="K1" s="153">
        <v>43374</v>
      </c>
      <c r="L1" s="153">
        <v>43405</v>
      </c>
      <c r="M1" s="153">
        <v>43435</v>
      </c>
      <c r="N1" s="154" t="s">
        <v>131</v>
      </c>
    </row>
    <row r="2" spans="1:14">
      <c r="A2" s="126"/>
      <c r="B2" s="127"/>
      <c r="C2" s="127"/>
      <c r="D2" s="127"/>
      <c r="E2" s="127"/>
      <c r="F2" s="127"/>
      <c r="G2" s="127"/>
      <c r="H2" s="127"/>
      <c r="I2" s="127"/>
      <c r="J2" s="127"/>
      <c r="K2" s="127"/>
      <c r="L2" s="127"/>
      <c r="M2" s="127"/>
      <c r="N2" s="128"/>
    </row>
    <row r="3" spans="1:14" ht="15.75" thickBot="1">
      <c r="A3" s="6" t="s">
        <v>51</v>
      </c>
      <c r="B3" s="127"/>
      <c r="C3" s="127"/>
      <c r="D3" s="127"/>
      <c r="E3" s="127"/>
      <c r="F3" s="127"/>
      <c r="G3" s="127"/>
      <c r="H3" s="127"/>
      <c r="I3" s="127"/>
      <c r="J3" s="127"/>
      <c r="K3" s="127"/>
      <c r="L3" s="127"/>
      <c r="M3" s="127"/>
      <c r="N3" s="128"/>
    </row>
    <row r="4" spans="1:14" ht="30">
      <c r="A4" s="138" t="s">
        <v>114</v>
      </c>
      <c r="B4" s="175">
        <v>3</v>
      </c>
      <c r="C4" s="175">
        <v>3</v>
      </c>
      <c r="D4" s="175">
        <v>3</v>
      </c>
      <c r="E4" s="175">
        <v>3</v>
      </c>
      <c r="F4" s="175" t="s">
        <v>42</v>
      </c>
      <c r="G4" s="175" t="s">
        <v>42</v>
      </c>
      <c r="H4" s="175" t="s">
        <v>42</v>
      </c>
      <c r="I4" s="175" t="s">
        <v>42</v>
      </c>
      <c r="J4" s="175" t="s">
        <v>42</v>
      </c>
      <c r="K4" s="175" t="s">
        <v>42</v>
      </c>
      <c r="L4" s="175" t="s">
        <v>42</v>
      </c>
      <c r="M4" s="175" t="s">
        <v>42</v>
      </c>
      <c r="N4" s="170">
        <f>SUM(B4:M4)</f>
        <v>12</v>
      </c>
    </row>
    <row r="5" spans="1:14">
      <c r="A5" s="139" t="s">
        <v>25</v>
      </c>
      <c r="B5" s="172">
        <v>218</v>
      </c>
      <c r="C5" s="172">
        <v>206</v>
      </c>
      <c r="D5" s="172">
        <v>265</v>
      </c>
      <c r="E5" s="172">
        <v>217</v>
      </c>
      <c r="F5" s="172">
        <v>64</v>
      </c>
      <c r="G5" s="172">
        <v>49</v>
      </c>
      <c r="H5" s="172">
        <v>69</v>
      </c>
      <c r="I5" s="172">
        <v>90</v>
      </c>
      <c r="J5" s="172">
        <v>267</v>
      </c>
      <c r="K5" s="172">
        <v>303</v>
      </c>
      <c r="L5" s="172">
        <v>238</v>
      </c>
      <c r="M5" s="172">
        <v>122</v>
      </c>
      <c r="N5" s="171">
        <f t="shared" ref="N5:N26" si="0">SUM(B5:M5)</f>
        <v>2108</v>
      </c>
    </row>
    <row r="6" spans="1:14">
      <c r="A6" s="139" t="s">
        <v>24</v>
      </c>
      <c r="B6" s="172">
        <v>620</v>
      </c>
      <c r="C6" s="172">
        <v>443</v>
      </c>
      <c r="D6" s="172">
        <v>518</v>
      </c>
      <c r="E6" s="172">
        <v>681</v>
      </c>
      <c r="F6" s="172">
        <v>854</v>
      </c>
      <c r="G6" s="172">
        <v>391</v>
      </c>
      <c r="H6" s="172">
        <v>804</v>
      </c>
      <c r="I6" s="172">
        <v>712</v>
      </c>
      <c r="J6" s="172">
        <v>646</v>
      </c>
      <c r="K6" s="172">
        <v>686</v>
      </c>
      <c r="L6" s="172">
        <v>1166</v>
      </c>
      <c r="M6" s="172">
        <v>542</v>
      </c>
      <c r="N6" s="171">
        <f t="shared" si="0"/>
        <v>8063</v>
      </c>
    </row>
    <row r="7" spans="1:14">
      <c r="A7" s="139" t="s">
        <v>27</v>
      </c>
      <c r="B7" s="172">
        <v>71</v>
      </c>
      <c r="C7" s="172">
        <v>72</v>
      </c>
      <c r="D7" s="172">
        <v>73</v>
      </c>
      <c r="E7" s="172">
        <v>256</v>
      </c>
      <c r="F7" s="172">
        <v>90</v>
      </c>
      <c r="G7" s="172">
        <v>77</v>
      </c>
      <c r="H7" s="172">
        <v>270</v>
      </c>
      <c r="I7" s="172">
        <v>110</v>
      </c>
      <c r="J7" s="172">
        <v>85</v>
      </c>
      <c r="K7" s="172">
        <v>116</v>
      </c>
      <c r="L7" s="172">
        <v>121</v>
      </c>
      <c r="M7" s="172">
        <v>100</v>
      </c>
      <c r="N7" s="171">
        <f t="shared" si="0"/>
        <v>1441</v>
      </c>
    </row>
    <row r="8" spans="1:14">
      <c r="A8" s="139" t="s">
        <v>115</v>
      </c>
      <c r="B8" s="172">
        <v>994</v>
      </c>
      <c r="C8" s="172">
        <v>836</v>
      </c>
      <c r="D8" s="172">
        <v>967</v>
      </c>
      <c r="E8" s="172">
        <v>953</v>
      </c>
      <c r="F8" s="172">
        <v>995</v>
      </c>
      <c r="G8" s="172">
        <v>997</v>
      </c>
      <c r="H8" s="172">
        <v>3231</v>
      </c>
      <c r="I8" s="172">
        <v>3055</v>
      </c>
      <c r="J8" s="172">
        <v>2124</v>
      </c>
      <c r="K8" s="172">
        <v>972</v>
      </c>
      <c r="L8" s="172">
        <v>981</v>
      </c>
      <c r="M8" s="172">
        <v>909</v>
      </c>
      <c r="N8" s="171">
        <f t="shared" si="0"/>
        <v>17014</v>
      </c>
    </row>
    <row r="9" spans="1:14">
      <c r="A9" s="139" t="s">
        <v>116</v>
      </c>
      <c r="B9" s="172">
        <v>546</v>
      </c>
      <c r="C9" s="172">
        <v>423</v>
      </c>
      <c r="D9" s="172">
        <v>608</v>
      </c>
      <c r="E9" s="172">
        <v>334</v>
      </c>
      <c r="F9" s="172">
        <v>383</v>
      </c>
      <c r="G9" s="172">
        <v>160</v>
      </c>
      <c r="H9" s="172">
        <v>78</v>
      </c>
      <c r="I9" s="172">
        <v>199</v>
      </c>
      <c r="J9" s="172">
        <v>452</v>
      </c>
      <c r="K9" s="172">
        <v>493</v>
      </c>
      <c r="L9" s="172">
        <v>582</v>
      </c>
      <c r="M9" s="172">
        <v>256</v>
      </c>
      <c r="N9" s="171">
        <f t="shared" si="0"/>
        <v>4514</v>
      </c>
    </row>
    <row r="10" spans="1:14">
      <c r="A10" s="139" t="s">
        <v>28</v>
      </c>
      <c r="B10" s="172">
        <v>67</v>
      </c>
      <c r="C10" s="172">
        <v>67</v>
      </c>
      <c r="D10" s="172">
        <v>65</v>
      </c>
      <c r="E10" s="172">
        <v>113</v>
      </c>
      <c r="F10" s="172">
        <v>64</v>
      </c>
      <c r="G10" s="172">
        <v>76</v>
      </c>
      <c r="H10" s="172">
        <v>56</v>
      </c>
      <c r="I10" s="172">
        <v>53</v>
      </c>
      <c r="J10" s="172">
        <v>48</v>
      </c>
      <c r="K10" s="172">
        <v>126</v>
      </c>
      <c r="L10" s="172">
        <v>267</v>
      </c>
      <c r="M10" s="172">
        <v>222</v>
      </c>
      <c r="N10" s="171">
        <f t="shared" si="0"/>
        <v>1224</v>
      </c>
    </row>
    <row r="11" spans="1:14">
      <c r="A11" s="139" t="s">
        <v>81</v>
      </c>
      <c r="B11" s="172">
        <f>1344+184</f>
        <v>1528</v>
      </c>
      <c r="C11" s="172">
        <f>1209+159</f>
        <v>1368</v>
      </c>
      <c r="D11" s="172">
        <f>1417+167</f>
        <v>1584</v>
      </c>
      <c r="E11" s="172">
        <f>1044+97</f>
        <v>1141</v>
      </c>
      <c r="F11" s="172">
        <f>1031+133</f>
        <v>1164</v>
      </c>
      <c r="G11" s="172">
        <f>849+199</f>
        <v>1048</v>
      </c>
      <c r="H11" s="172">
        <f>1165+285</f>
        <v>1450</v>
      </c>
      <c r="I11" s="172">
        <f>1322+261</f>
        <v>1583</v>
      </c>
      <c r="J11" s="172">
        <f>1383+335</f>
        <v>1718</v>
      </c>
      <c r="K11" s="172">
        <f>1398+200</f>
        <v>1598</v>
      </c>
      <c r="L11" s="172">
        <f>1571+222</f>
        <v>1793</v>
      </c>
      <c r="M11" s="172">
        <f>1221+38</f>
        <v>1259</v>
      </c>
      <c r="N11" s="171">
        <f t="shared" si="0"/>
        <v>17234</v>
      </c>
    </row>
    <row r="12" spans="1:14">
      <c r="A12" s="139" t="s">
        <v>117</v>
      </c>
      <c r="B12" s="172">
        <v>516</v>
      </c>
      <c r="C12" s="172">
        <v>338</v>
      </c>
      <c r="D12" s="172">
        <v>526</v>
      </c>
      <c r="E12" s="172">
        <v>239</v>
      </c>
      <c r="F12" s="172">
        <v>102</v>
      </c>
      <c r="G12" s="172">
        <v>77</v>
      </c>
      <c r="H12" s="172">
        <v>384</v>
      </c>
      <c r="I12" s="172">
        <v>495</v>
      </c>
      <c r="J12" s="172">
        <v>649</v>
      </c>
      <c r="K12" s="172">
        <v>717</v>
      </c>
      <c r="L12" s="172">
        <v>601</v>
      </c>
      <c r="M12" s="172">
        <v>185</v>
      </c>
      <c r="N12" s="171">
        <f t="shared" si="0"/>
        <v>4829</v>
      </c>
    </row>
    <row r="13" spans="1:14">
      <c r="A13" s="139" t="s">
        <v>33</v>
      </c>
      <c r="B13" s="172">
        <v>0</v>
      </c>
      <c r="C13" s="172">
        <v>0</v>
      </c>
      <c r="D13" s="172">
        <v>0</v>
      </c>
      <c r="E13" s="172">
        <v>0</v>
      </c>
      <c r="F13" s="172">
        <v>0</v>
      </c>
      <c r="G13" s="172">
        <v>0</v>
      </c>
      <c r="H13" s="172">
        <v>0</v>
      </c>
      <c r="I13" s="172">
        <v>0</v>
      </c>
      <c r="J13" s="172">
        <v>0</v>
      </c>
      <c r="K13" s="172">
        <v>0</v>
      </c>
      <c r="L13" s="172">
        <v>0</v>
      </c>
      <c r="M13" s="172">
        <v>0</v>
      </c>
      <c r="N13" s="171">
        <f t="shared" si="0"/>
        <v>0</v>
      </c>
    </row>
    <row r="14" spans="1:14">
      <c r="A14" s="139" t="s">
        <v>118</v>
      </c>
      <c r="B14" s="172">
        <v>14</v>
      </c>
      <c r="C14" s="172">
        <v>13</v>
      </c>
      <c r="D14" s="172">
        <v>17</v>
      </c>
      <c r="E14" s="172">
        <v>15</v>
      </c>
      <c r="F14" s="172">
        <v>17</v>
      </c>
      <c r="G14" s="172">
        <v>17</v>
      </c>
      <c r="H14" s="172">
        <v>19</v>
      </c>
      <c r="I14" s="172">
        <v>20</v>
      </c>
      <c r="J14" s="172">
        <v>18</v>
      </c>
      <c r="K14" s="172">
        <v>19</v>
      </c>
      <c r="L14" s="172">
        <v>23</v>
      </c>
      <c r="M14" s="172">
        <v>10</v>
      </c>
      <c r="N14" s="171">
        <f t="shared" si="0"/>
        <v>202</v>
      </c>
    </row>
    <row r="15" spans="1:14">
      <c r="A15" s="139" t="s">
        <v>76</v>
      </c>
      <c r="B15" s="172">
        <v>320</v>
      </c>
      <c r="C15" s="172">
        <v>307</v>
      </c>
      <c r="D15" s="172">
        <v>317</v>
      </c>
      <c r="E15" s="172">
        <v>266</v>
      </c>
      <c r="F15" s="172">
        <v>252</v>
      </c>
      <c r="G15" s="172">
        <v>307</v>
      </c>
      <c r="H15" s="172">
        <v>549</v>
      </c>
      <c r="I15" s="172">
        <v>639</v>
      </c>
      <c r="J15" s="172">
        <v>345</v>
      </c>
      <c r="K15" s="172">
        <v>522</v>
      </c>
      <c r="L15" s="172">
        <v>470</v>
      </c>
      <c r="M15" s="172">
        <v>207</v>
      </c>
      <c r="N15" s="171">
        <f t="shared" si="0"/>
        <v>4501</v>
      </c>
    </row>
    <row r="16" spans="1:14">
      <c r="A16" s="139" t="s">
        <v>29</v>
      </c>
      <c r="B16" s="172">
        <v>712</v>
      </c>
      <c r="C16" s="172">
        <v>684</v>
      </c>
      <c r="D16" s="172">
        <v>810</v>
      </c>
      <c r="E16" s="172">
        <v>713</v>
      </c>
      <c r="F16" s="172">
        <v>775</v>
      </c>
      <c r="G16" s="172">
        <v>494</v>
      </c>
      <c r="H16" s="172">
        <v>619</v>
      </c>
      <c r="I16" s="172">
        <v>655</v>
      </c>
      <c r="J16" s="172">
        <v>567</v>
      </c>
      <c r="K16" s="172">
        <v>399</v>
      </c>
      <c r="L16" s="172">
        <v>413</v>
      </c>
      <c r="M16" s="172">
        <v>439</v>
      </c>
      <c r="N16" s="171">
        <f t="shared" si="0"/>
        <v>7280</v>
      </c>
    </row>
    <row r="17" spans="1:14">
      <c r="A17" s="139" t="s">
        <v>119</v>
      </c>
      <c r="B17" s="172">
        <v>1</v>
      </c>
      <c r="C17" s="172">
        <v>1</v>
      </c>
      <c r="D17" s="172">
        <v>2</v>
      </c>
      <c r="E17" s="172">
        <v>1</v>
      </c>
      <c r="F17" s="172">
        <v>7</v>
      </c>
      <c r="G17" s="172">
        <v>1</v>
      </c>
      <c r="H17" s="172">
        <v>2</v>
      </c>
      <c r="I17" s="172">
        <v>1</v>
      </c>
      <c r="J17" s="172">
        <v>5</v>
      </c>
      <c r="K17" s="172">
        <v>1</v>
      </c>
      <c r="L17" s="172">
        <v>2</v>
      </c>
      <c r="M17" s="172">
        <v>1</v>
      </c>
      <c r="N17" s="171">
        <f t="shared" si="0"/>
        <v>25</v>
      </c>
    </row>
    <row r="18" spans="1:14">
      <c r="A18" s="139" t="s">
        <v>2</v>
      </c>
      <c r="B18" s="172">
        <v>380</v>
      </c>
      <c r="C18" s="172">
        <v>116</v>
      </c>
      <c r="D18" s="172">
        <v>117</v>
      </c>
      <c r="E18" s="172">
        <v>98</v>
      </c>
      <c r="F18" s="172">
        <v>124</v>
      </c>
      <c r="G18" s="172">
        <v>170</v>
      </c>
      <c r="H18" s="172">
        <v>85</v>
      </c>
      <c r="I18" s="172">
        <v>146</v>
      </c>
      <c r="J18" s="172">
        <v>105</v>
      </c>
      <c r="K18" s="172">
        <v>98</v>
      </c>
      <c r="L18" s="172">
        <v>107</v>
      </c>
      <c r="M18" s="172">
        <v>52</v>
      </c>
      <c r="N18" s="171">
        <f t="shared" si="0"/>
        <v>1598</v>
      </c>
    </row>
    <row r="19" spans="1:14">
      <c r="A19" s="139" t="s">
        <v>30</v>
      </c>
      <c r="B19" s="172">
        <v>0</v>
      </c>
      <c r="C19" s="172">
        <v>0</v>
      </c>
      <c r="D19" s="172">
        <v>0</v>
      </c>
      <c r="E19" s="172">
        <v>0</v>
      </c>
      <c r="F19" s="172">
        <v>0</v>
      </c>
      <c r="G19" s="172">
        <v>0</v>
      </c>
      <c r="H19" s="172">
        <v>0</v>
      </c>
      <c r="I19" s="172">
        <v>0</v>
      </c>
      <c r="J19" s="172">
        <v>0</v>
      </c>
      <c r="K19" s="172">
        <v>0</v>
      </c>
      <c r="L19" s="172">
        <v>0</v>
      </c>
      <c r="M19" s="172">
        <v>0</v>
      </c>
      <c r="N19" s="171">
        <f t="shared" si="0"/>
        <v>0</v>
      </c>
    </row>
    <row r="20" spans="1:14">
      <c r="A20" s="139" t="s">
        <v>120</v>
      </c>
      <c r="B20" s="172">
        <v>692</v>
      </c>
      <c r="C20" s="172">
        <v>566</v>
      </c>
      <c r="D20" s="172">
        <v>664</v>
      </c>
      <c r="E20" s="172">
        <v>417</v>
      </c>
      <c r="F20" s="172">
        <v>411</v>
      </c>
      <c r="G20" s="172">
        <v>285</v>
      </c>
      <c r="H20" s="172">
        <v>322</v>
      </c>
      <c r="I20" s="172">
        <v>407</v>
      </c>
      <c r="J20" s="172">
        <v>720</v>
      </c>
      <c r="K20" s="172">
        <v>713</v>
      </c>
      <c r="L20" s="172">
        <v>762</v>
      </c>
      <c r="M20" s="172">
        <v>495</v>
      </c>
      <c r="N20" s="171">
        <f t="shared" si="0"/>
        <v>6454</v>
      </c>
    </row>
    <row r="21" spans="1:14" ht="30">
      <c r="A21" s="139" t="s">
        <v>122</v>
      </c>
      <c r="B21" s="172">
        <v>831</v>
      </c>
      <c r="C21" s="172">
        <v>668</v>
      </c>
      <c r="D21" s="172">
        <v>902</v>
      </c>
      <c r="E21" s="172">
        <v>493</v>
      </c>
      <c r="F21" s="172">
        <v>169</v>
      </c>
      <c r="G21" s="172">
        <v>126</v>
      </c>
      <c r="H21" s="172">
        <v>149</v>
      </c>
      <c r="I21" s="172">
        <v>367</v>
      </c>
      <c r="J21" s="172">
        <v>691</v>
      </c>
      <c r="K21" s="172">
        <v>673</v>
      </c>
      <c r="L21" s="172">
        <v>773</v>
      </c>
      <c r="M21" s="172">
        <v>415</v>
      </c>
      <c r="N21" s="171">
        <f t="shared" si="0"/>
        <v>6257</v>
      </c>
    </row>
    <row r="22" spans="1:14" ht="30">
      <c r="A22" s="139" t="s">
        <v>121</v>
      </c>
      <c r="B22" s="172">
        <v>698</v>
      </c>
      <c r="C22" s="172">
        <v>527</v>
      </c>
      <c r="D22" s="172">
        <v>653</v>
      </c>
      <c r="E22" s="172">
        <v>410</v>
      </c>
      <c r="F22" s="172">
        <v>106</v>
      </c>
      <c r="G22" s="172">
        <v>238</v>
      </c>
      <c r="H22" s="172">
        <v>642</v>
      </c>
      <c r="I22" s="172">
        <v>665</v>
      </c>
      <c r="J22" s="172">
        <v>543</v>
      </c>
      <c r="K22" s="172">
        <v>541</v>
      </c>
      <c r="L22" s="172">
        <v>731</v>
      </c>
      <c r="M22" s="172">
        <v>291</v>
      </c>
      <c r="N22" s="171">
        <f t="shared" si="0"/>
        <v>6045</v>
      </c>
    </row>
    <row r="23" spans="1:14">
      <c r="A23" s="139" t="s">
        <v>31</v>
      </c>
      <c r="B23" s="172">
        <v>710</v>
      </c>
      <c r="C23" s="172">
        <v>639</v>
      </c>
      <c r="D23" s="172">
        <v>718</v>
      </c>
      <c r="E23" s="172">
        <v>466</v>
      </c>
      <c r="F23" s="172">
        <v>290</v>
      </c>
      <c r="G23" s="172">
        <v>378</v>
      </c>
      <c r="H23" s="172">
        <v>268</v>
      </c>
      <c r="I23" s="172">
        <v>382</v>
      </c>
      <c r="J23" s="172">
        <v>562</v>
      </c>
      <c r="K23" s="172">
        <v>575</v>
      </c>
      <c r="L23" s="172">
        <v>713</v>
      </c>
      <c r="M23" s="172">
        <v>400</v>
      </c>
      <c r="N23" s="171">
        <f t="shared" si="0"/>
        <v>6101</v>
      </c>
    </row>
    <row r="24" spans="1:14" ht="15" customHeight="1">
      <c r="A24" s="139" t="s">
        <v>123</v>
      </c>
      <c r="B24" s="172">
        <v>109</v>
      </c>
      <c r="C24" s="172">
        <v>98</v>
      </c>
      <c r="D24" s="172">
        <v>110</v>
      </c>
      <c r="E24" s="172">
        <v>68</v>
      </c>
      <c r="F24" s="172">
        <v>90</v>
      </c>
      <c r="G24" s="172">
        <v>80</v>
      </c>
      <c r="H24" s="172">
        <v>104</v>
      </c>
      <c r="I24" s="172">
        <v>105</v>
      </c>
      <c r="J24" s="172">
        <v>91</v>
      </c>
      <c r="K24" s="172">
        <v>103</v>
      </c>
      <c r="L24" s="172">
        <v>189</v>
      </c>
      <c r="M24" s="172">
        <v>63</v>
      </c>
      <c r="N24" s="171">
        <f t="shared" si="0"/>
        <v>1210</v>
      </c>
    </row>
    <row r="25" spans="1:14" ht="15.75" thickBot="1">
      <c r="A25" s="139" t="s">
        <v>23</v>
      </c>
      <c r="B25" s="264">
        <v>180</v>
      </c>
      <c r="C25" s="264">
        <v>162</v>
      </c>
      <c r="D25" s="264">
        <v>199</v>
      </c>
      <c r="E25" s="264">
        <v>190</v>
      </c>
      <c r="F25" s="264">
        <v>167</v>
      </c>
      <c r="G25" s="264">
        <v>152</v>
      </c>
      <c r="H25" s="264">
        <v>232</v>
      </c>
      <c r="I25" s="264">
        <v>222</v>
      </c>
      <c r="J25" s="264">
        <v>206</v>
      </c>
      <c r="K25" s="264">
        <v>181</v>
      </c>
      <c r="L25" s="264">
        <v>198</v>
      </c>
      <c r="M25" s="264">
        <v>135</v>
      </c>
      <c r="N25" s="265">
        <f t="shared" si="0"/>
        <v>2224</v>
      </c>
    </row>
    <row r="26" spans="1:14" ht="16.5" thickTop="1" thickBot="1">
      <c r="A26" s="140" t="s">
        <v>45</v>
      </c>
      <c r="B26" s="244">
        <f t="shared" ref="B26:M26" si="1">SUM(B4:B25)</f>
        <v>9210</v>
      </c>
      <c r="C26" s="244">
        <f t="shared" si="1"/>
        <v>7537</v>
      </c>
      <c r="D26" s="244">
        <f t="shared" si="1"/>
        <v>9118</v>
      </c>
      <c r="E26" s="244">
        <f t="shared" si="1"/>
        <v>7074</v>
      </c>
      <c r="F26" s="244">
        <f t="shared" si="1"/>
        <v>6124</v>
      </c>
      <c r="G26" s="244">
        <f t="shared" si="1"/>
        <v>5123</v>
      </c>
      <c r="H26" s="244">
        <f t="shared" si="1"/>
        <v>9333</v>
      </c>
      <c r="I26" s="244">
        <f t="shared" si="1"/>
        <v>9906</v>
      </c>
      <c r="J26" s="244">
        <f t="shared" si="1"/>
        <v>9842</v>
      </c>
      <c r="K26" s="244">
        <f t="shared" si="1"/>
        <v>8836</v>
      </c>
      <c r="L26" s="244">
        <f t="shared" si="1"/>
        <v>10130</v>
      </c>
      <c r="M26" s="244">
        <f t="shared" si="1"/>
        <v>6103</v>
      </c>
      <c r="N26" s="245">
        <f t="shared" si="0"/>
        <v>98336</v>
      </c>
    </row>
    <row r="27" spans="1:14">
      <c r="A27" s="126"/>
      <c r="B27" s="226"/>
      <c r="C27" s="226"/>
      <c r="D27" s="226"/>
      <c r="E27" s="226"/>
      <c r="F27" s="226"/>
      <c r="G27" s="226"/>
      <c r="H27" s="226"/>
      <c r="I27" s="226"/>
      <c r="J27" s="226"/>
      <c r="K27" s="226"/>
      <c r="L27" s="226"/>
      <c r="M27" s="226"/>
      <c r="N27" s="226"/>
    </row>
    <row r="28" spans="1:14" ht="15.75" thickBot="1">
      <c r="A28" s="6" t="s">
        <v>8</v>
      </c>
      <c r="B28" s="226"/>
      <c r="C28" s="226"/>
      <c r="D28" s="226"/>
      <c r="E28" s="226"/>
      <c r="F28" s="226"/>
      <c r="G28" s="226"/>
      <c r="H28" s="226"/>
      <c r="I28" s="226"/>
      <c r="J28" s="226"/>
      <c r="K28" s="226"/>
      <c r="L28" s="226"/>
      <c r="M28" s="226"/>
      <c r="N28" s="226"/>
    </row>
    <row r="29" spans="1:14">
      <c r="A29" s="138" t="s">
        <v>105</v>
      </c>
      <c r="B29" s="175">
        <v>0</v>
      </c>
      <c r="C29" s="175">
        <v>0</v>
      </c>
      <c r="D29" s="175">
        <v>1</v>
      </c>
      <c r="E29" s="175">
        <v>0</v>
      </c>
      <c r="F29" s="175">
        <v>0</v>
      </c>
      <c r="G29" s="175">
        <v>0</v>
      </c>
      <c r="H29" s="175">
        <v>0</v>
      </c>
      <c r="I29" s="175">
        <v>0</v>
      </c>
      <c r="J29" s="175">
        <v>0</v>
      </c>
      <c r="K29" s="175">
        <v>0</v>
      </c>
      <c r="L29" s="175">
        <v>0</v>
      </c>
      <c r="M29" s="175">
        <v>0</v>
      </c>
      <c r="N29" s="170">
        <f>SUM(B29:M29)</f>
        <v>1</v>
      </c>
    </row>
    <row r="30" spans="1:14">
      <c r="A30" s="139" t="s">
        <v>85</v>
      </c>
      <c r="B30" s="172">
        <v>55</v>
      </c>
      <c r="C30" s="172">
        <v>27</v>
      </c>
      <c r="D30" s="172">
        <v>19</v>
      </c>
      <c r="E30" s="172">
        <v>27</v>
      </c>
      <c r="F30" s="172">
        <v>69</v>
      </c>
      <c r="G30" s="172">
        <v>16</v>
      </c>
      <c r="H30" s="172">
        <v>9</v>
      </c>
      <c r="I30" s="172">
        <v>6</v>
      </c>
      <c r="J30" s="172">
        <v>22</v>
      </c>
      <c r="K30" s="172">
        <v>8</v>
      </c>
      <c r="L30" s="172">
        <v>6</v>
      </c>
      <c r="M30" s="172">
        <v>13</v>
      </c>
      <c r="N30" s="171">
        <f t="shared" ref="N30:N37" si="2">SUM(B30:M30)</f>
        <v>277</v>
      </c>
    </row>
    <row r="31" spans="1:14">
      <c r="A31" s="139" t="s">
        <v>106</v>
      </c>
      <c r="B31" s="172">
        <v>2</v>
      </c>
      <c r="C31" s="172">
        <v>4</v>
      </c>
      <c r="D31" s="172">
        <v>2</v>
      </c>
      <c r="E31" s="172">
        <v>3</v>
      </c>
      <c r="F31" s="172">
        <v>2</v>
      </c>
      <c r="G31" s="172">
        <v>1</v>
      </c>
      <c r="H31" s="172">
        <v>1</v>
      </c>
      <c r="I31" s="172">
        <v>0</v>
      </c>
      <c r="J31" s="172">
        <v>3</v>
      </c>
      <c r="K31" s="172">
        <v>3</v>
      </c>
      <c r="L31" s="172">
        <v>4</v>
      </c>
      <c r="M31" s="172">
        <v>2</v>
      </c>
      <c r="N31" s="171">
        <f t="shared" si="2"/>
        <v>27</v>
      </c>
    </row>
    <row r="32" spans="1:14">
      <c r="A32" s="139" t="s">
        <v>107</v>
      </c>
      <c r="B32" s="172">
        <v>65</v>
      </c>
      <c r="C32" s="172">
        <v>84</v>
      </c>
      <c r="D32" s="172">
        <v>86</v>
      </c>
      <c r="E32" s="172">
        <v>91</v>
      </c>
      <c r="F32" s="172">
        <v>66</v>
      </c>
      <c r="G32" s="172">
        <v>56</v>
      </c>
      <c r="H32" s="172">
        <v>59</v>
      </c>
      <c r="I32" s="172">
        <v>49</v>
      </c>
      <c r="J32" s="172">
        <v>91</v>
      </c>
      <c r="K32" s="172">
        <v>85</v>
      </c>
      <c r="L32" s="172">
        <v>103</v>
      </c>
      <c r="M32" s="172">
        <v>223</v>
      </c>
      <c r="N32" s="171">
        <f t="shared" si="2"/>
        <v>1058</v>
      </c>
    </row>
    <row r="33" spans="1:14">
      <c r="A33" s="139" t="s">
        <v>108</v>
      </c>
      <c r="B33" s="172">
        <v>69</v>
      </c>
      <c r="C33" s="172">
        <v>107</v>
      </c>
      <c r="D33" s="172">
        <v>110</v>
      </c>
      <c r="E33" s="172">
        <v>111</v>
      </c>
      <c r="F33" s="172">
        <v>50</v>
      </c>
      <c r="G33" s="172">
        <v>41</v>
      </c>
      <c r="H33" s="172">
        <v>45</v>
      </c>
      <c r="I33" s="172">
        <v>53</v>
      </c>
      <c r="J33" s="172">
        <v>168</v>
      </c>
      <c r="K33" s="172">
        <v>154</v>
      </c>
      <c r="L33" s="172">
        <v>110</v>
      </c>
      <c r="M33" s="172">
        <v>111</v>
      </c>
      <c r="N33" s="171">
        <f t="shared" si="2"/>
        <v>1129</v>
      </c>
    </row>
    <row r="34" spans="1:14">
      <c r="A34" s="139" t="s">
        <v>87</v>
      </c>
      <c r="B34" s="172">
        <v>7</v>
      </c>
      <c r="C34" s="172">
        <v>15</v>
      </c>
      <c r="D34" s="172">
        <v>15</v>
      </c>
      <c r="E34" s="172">
        <v>15</v>
      </c>
      <c r="F34" s="172">
        <v>7</v>
      </c>
      <c r="G34" s="172">
        <v>0</v>
      </c>
      <c r="H34" s="172">
        <v>16</v>
      </c>
      <c r="I34" s="172">
        <v>6</v>
      </c>
      <c r="J34" s="172">
        <v>11</v>
      </c>
      <c r="K34" s="172">
        <v>15</v>
      </c>
      <c r="L34" s="172">
        <v>14</v>
      </c>
      <c r="M34" s="172">
        <v>13</v>
      </c>
      <c r="N34" s="171">
        <f t="shared" si="2"/>
        <v>134</v>
      </c>
    </row>
    <row r="35" spans="1:14">
      <c r="A35" s="139" t="s">
        <v>88</v>
      </c>
      <c r="B35" s="172">
        <v>1</v>
      </c>
      <c r="C35" s="172">
        <v>5</v>
      </c>
      <c r="D35" s="172">
        <v>133</v>
      </c>
      <c r="E35" s="172">
        <v>166</v>
      </c>
      <c r="F35" s="172">
        <v>128</v>
      </c>
      <c r="G35" s="172">
        <v>57</v>
      </c>
      <c r="H35" s="172">
        <v>1</v>
      </c>
      <c r="I35" s="172">
        <v>0</v>
      </c>
      <c r="J35" s="172">
        <v>26</v>
      </c>
      <c r="K35" s="172">
        <v>28</v>
      </c>
      <c r="L35" s="172">
        <v>28</v>
      </c>
      <c r="M35" s="172">
        <v>25</v>
      </c>
      <c r="N35" s="171">
        <f t="shared" si="2"/>
        <v>598</v>
      </c>
    </row>
    <row r="36" spans="1:14" ht="15.75" thickBot="1">
      <c r="A36" s="139" t="s">
        <v>109</v>
      </c>
      <c r="B36" s="173">
        <v>48</v>
      </c>
      <c r="C36" s="173">
        <v>51</v>
      </c>
      <c r="D36" s="173">
        <v>3</v>
      </c>
      <c r="E36" s="173">
        <v>14</v>
      </c>
      <c r="F36" s="173">
        <v>2</v>
      </c>
      <c r="G36" s="173">
        <v>1</v>
      </c>
      <c r="H36" s="173">
        <v>8</v>
      </c>
      <c r="I36" s="173">
        <v>3</v>
      </c>
      <c r="J36" s="173">
        <v>3</v>
      </c>
      <c r="K36" s="173">
        <v>14</v>
      </c>
      <c r="L36" s="173">
        <v>54</v>
      </c>
      <c r="M36" s="173">
        <v>11</v>
      </c>
      <c r="N36" s="174">
        <f t="shared" si="2"/>
        <v>212</v>
      </c>
    </row>
    <row r="37" spans="1:14" ht="16.5" thickTop="1" thickBot="1">
      <c r="A37" s="137" t="s">
        <v>46</v>
      </c>
      <c r="B37" s="244">
        <f>SUM(B29:B36)</f>
        <v>247</v>
      </c>
      <c r="C37" s="244">
        <f t="shared" ref="C37:M37" si="3">SUM(C29:C36)</f>
        <v>293</v>
      </c>
      <c r="D37" s="244">
        <f t="shared" si="3"/>
        <v>369</v>
      </c>
      <c r="E37" s="244">
        <f t="shared" si="3"/>
        <v>427</v>
      </c>
      <c r="F37" s="244">
        <f t="shared" si="3"/>
        <v>324</v>
      </c>
      <c r="G37" s="244">
        <f t="shared" si="3"/>
        <v>172</v>
      </c>
      <c r="H37" s="244">
        <f t="shared" si="3"/>
        <v>139</v>
      </c>
      <c r="I37" s="244">
        <f t="shared" si="3"/>
        <v>117</v>
      </c>
      <c r="J37" s="244">
        <f t="shared" si="3"/>
        <v>324</v>
      </c>
      <c r="K37" s="244">
        <f t="shared" si="3"/>
        <v>307</v>
      </c>
      <c r="L37" s="244">
        <f t="shared" si="3"/>
        <v>319</v>
      </c>
      <c r="M37" s="244">
        <f t="shared" si="3"/>
        <v>398</v>
      </c>
      <c r="N37" s="245">
        <f t="shared" si="2"/>
        <v>3436</v>
      </c>
    </row>
    <row r="38" spans="1:14" ht="15.75" thickBot="1">
      <c r="A38" s="126"/>
      <c r="B38" s="226"/>
      <c r="C38" s="226"/>
      <c r="D38" s="226"/>
      <c r="E38" s="226"/>
      <c r="F38" s="226"/>
      <c r="G38" s="226"/>
      <c r="H38" s="226"/>
      <c r="I38" s="226"/>
      <c r="J38" s="226"/>
      <c r="K38" s="226"/>
      <c r="L38" s="226"/>
      <c r="M38" s="226"/>
      <c r="N38" s="226"/>
    </row>
    <row r="39" spans="1:14" ht="15.75" thickBot="1">
      <c r="A39" s="152" t="s">
        <v>20</v>
      </c>
      <c r="B39" s="266"/>
      <c r="C39" s="266">
        <f>275/2</f>
        <v>137.5</v>
      </c>
      <c r="D39" s="266"/>
      <c r="E39" s="266">
        <v>325</v>
      </c>
      <c r="F39" s="266"/>
      <c r="G39" s="266">
        <v>205</v>
      </c>
      <c r="H39" s="266"/>
      <c r="I39" s="266">
        <v>80</v>
      </c>
      <c r="J39" s="266"/>
      <c r="K39" s="266">
        <v>80</v>
      </c>
      <c r="L39" s="266"/>
      <c r="M39" s="266">
        <v>330</v>
      </c>
      <c r="N39" s="267">
        <f>SUM(B39:M39)</f>
        <v>1157.5</v>
      </c>
    </row>
    <row r="40" spans="1:14" ht="15.75" thickBot="1">
      <c r="A40" s="269"/>
      <c r="B40" s="268"/>
      <c r="C40" s="268"/>
      <c r="D40" s="268"/>
      <c r="E40" s="268"/>
      <c r="F40" s="268"/>
      <c r="G40" s="268"/>
      <c r="H40" s="268"/>
      <c r="I40" s="268"/>
      <c r="J40" s="268"/>
      <c r="K40" s="268"/>
      <c r="L40" s="268"/>
      <c r="M40" s="268"/>
      <c r="N40" s="268"/>
    </row>
    <row r="41" spans="1:14" ht="15.75" thickBot="1">
      <c r="A41" s="151" t="s">
        <v>67</v>
      </c>
      <c r="B41" s="246">
        <f t="shared" ref="B41:N41" si="4">B26+B37+B39</f>
        <v>9457</v>
      </c>
      <c r="C41" s="246">
        <f t="shared" si="4"/>
        <v>7967.5</v>
      </c>
      <c r="D41" s="246">
        <f t="shared" si="4"/>
        <v>9487</v>
      </c>
      <c r="E41" s="246">
        <f t="shared" si="4"/>
        <v>7826</v>
      </c>
      <c r="F41" s="246">
        <f t="shared" si="4"/>
        <v>6448</v>
      </c>
      <c r="G41" s="246">
        <f t="shared" si="4"/>
        <v>5500</v>
      </c>
      <c r="H41" s="246">
        <f t="shared" si="4"/>
        <v>9472</v>
      </c>
      <c r="I41" s="246">
        <f t="shared" si="4"/>
        <v>10103</v>
      </c>
      <c r="J41" s="246">
        <f t="shared" si="4"/>
        <v>10166</v>
      </c>
      <c r="K41" s="246">
        <f t="shared" si="4"/>
        <v>9223</v>
      </c>
      <c r="L41" s="246">
        <f t="shared" si="4"/>
        <v>10449</v>
      </c>
      <c r="M41" s="246">
        <f t="shared" si="4"/>
        <v>6831</v>
      </c>
      <c r="N41" s="247">
        <f t="shared" si="4"/>
        <v>102929.5</v>
      </c>
    </row>
  </sheetData>
  <pageMargins left="0.7" right="0.7" top="0.75" bottom="0.75" header="0.3" footer="0.3"/>
  <pageSetup scale="77"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N43"/>
  <sheetViews>
    <sheetView topLeftCell="A10" workbookViewId="0">
      <selection activeCell="N44" sqref="N44"/>
    </sheetView>
  </sheetViews>
  <sheetFormatPr defaultColWidth="8.85546875" defaultRowHeight="15"/>
  <cols>
    <col min="1" max="1" width="27.7109375" style="74" customWidth="1"/>
    <col min="2" max="13" width="9.28515625" style="17" bestFit="1" customWidth="1"/>
    <col min="14" max="14" width="10.140625" style="17" bestFit="1" customWidth="1"/>
    <col min="15" max="16384" width="8.85546875" style="17"/>
  </cols>
  <sheetData>
    <row r="1" spans="1:14" ht="17.25" thickBot="1">
      <c r="A1" s="152" t="s">
        <v>0</v>
      </c>
      <c r="B1" s="153">
        <v>43466</v>
      </c>
      <c r="C1" s="153">
        <v>43497</v>
      </c>
      <c r="D1" s="153">
        <v>43525</v>
      </c>
      <c r="E1" s="153">
        <v>43556</v>
      </c>
      <c r="F1" s="153">
        <v>43586</v>
      </c>
      <c r="G1" s="153">
        <v>43617</v>
      </c>
      <c r="H1" s="153">
        <v>43647</v>
      </c>
      <c r="I1" s="153">
        <v>43678</v>
      </c>
      <c r="J1" s="153">
        <v>43709</v>
      </c>
      <c r="K1" s="153">
        <v>43739</v>
      </c>
      <c r="L1" s="153">
        <v>43770</v>
      </c>
      <c r="M1" s="153">
        <v>43800</v>
      </c>
      <c r="N1" s="154" t="s">
        <v>131</v>
      </c>
    </row>
    <row r="2" spans="1:14">
      <c r="A2" s="126"/>
      <c r="B2" s="127"/>
      <c r="C2" s="127"/>
      <c r="D2" s="127"/>
      <c r="E2" s="127"/>
      <c r="F2" s="127"/>
      <c r="G2" s="127"/>
      <c r="H2" s="127"/>
      <c r="I2" s="127"/>
      <c r="J2" s="127"/>
      <c r="K2" s="127"/>
      <c r="L2" s="127"/>
      <c r="M2" s="127"/>
      <c r="N2" s="128"/>
    </row>
    <row r="3" spans="1:14" ht="15.75" thickBot="1">
      <c r="A3" s="6" t="s">
        <v>51</v>
      </c>
      <c r="B3" s="127"/>
      <c r="C3" s="127"/>
      <c r="D3" s="127"/>
      <c r="E3" s="127"/>
      <c r="F3" s="127"/>
      <c r="G3" s="127"/>
      <c r="H3" s="127"/>
      <c r="I3" s="127"/>
      <c r="J3" s="127"/>
      <c r="K3" s="127"/>
      <c r="L3" s="127"/>
      <c r="M3" s="127"/>
      <c r="N3" s="128"/>
    </row>
    <row r="4" spans="1:14" ht="15.75" thickBot="1">
      <c r="A4" s="139" t="s">
        <v>25</v>
      </c>
      <c r="B4" s="175">
        <v>244</v>
      </c>
      <c r="C4" s="175">
        <v>192</v>
      </c>
      <c r="D4" s="175">
        <v>263</v>
      </c>
      <c r="E4" s="175">
        <v>186</v>
      </c>
      <c r="F4" s="175">
        <v>96</v>
      </c>
      <c r="G4" s="175">
        <v>47</v>
      </c>
      <c r="H4" s="175">
        <v>67</v>
      </c>
      <c r="I4" s="175">
        <v>70</v>
      </c>
      <c r="J4" s="175">
        <v>303</v>
      </c>
      <c r="K4" s="175">
        <v>291</v>
      </c>
      <c r="L4" s="175">
        <v>323</v>
      </c>
      <c r="M4" s="175">
        <v>142</v>
      </c>
      <c r="N4" s="171">
        <f t="shared" ref="N4:N25" si="0">SUM(B4:M4)</f>
        <v>2224</v>
      </c>
    </row>
    <row r="5" spans="1:14" ht="15.75" thickBot="1">
      <c r="A5" s="139" t="s">
        <v>24</v>
      </c>
      <c r="B5" s="175">
        <v>972</v>
      </c>
      <c r="C5" s="175">
        <v>563</v>
      </c>
      <c r="D5" s="175">
        <v>520</v>
      </c>
      <c r="E5" s="175">
        <v>600</v>
      </c>
      <c r="F5" s="175">
        <v>0</v>
      </c>
      <c r="G5" s="175">
        <v>331</v>
      </c>
      <c r="H5" s="175">
        <v>540</v>
      </c>
      <c r="I5" s="175">
        <v>369</v>
      </c>
      <c r="J5" s="175">
        <v>729</v>
      </c>
      <c r="K5" s="175">
        <v>667</v>
      </c>
      <c r="L5" s="175">
        <v>698</v>
      </c>
      <c r="M5" s="175"/>
      <c r="N5" s="171">
        <f t="shared" si="0"/>
        <v>5989</v>
      </c>
    </row>
    <row r="6" spans="1:14" ht="15.75" thickBot="1">
      <c r="A6" s="139" t="s">
        <v>27</v>
      </c>
      <c r="B6" s="175">
        <v>91</v>
      </c>
      <c r="C6" s="175">
        <v>73</v>
      </c>
      <c r="D6" s="175">
        <v>84</v>
      </c>
      <c r="E6" s="175">
        <v>86</v>
      </c>
      <c r="F6" s="175">
        <v>89</v>
      </c>
      <c r="G6" s="175">
        <v>94</v>
      </c>
      <c r="H6" s="175">
        <v>104</v>
      </c>
      <c r="I6" s="175">
        <v>79</v>
      </c>
      <c r="J6" s="175">
        <v>84</v>
      </c>
      <c r="K6" s="175">
        <v>110</v>
      </c>
      <c r="L6" s="175">
        <v>102</v>
      </c>
      <c r="M6" s="175">
        <v>96</v>
      </c>
      <c r="N6" s="171">
        <f t="shared" si="0"/>
        <v>1092</v>
      </c>
    </row>
    <row r="7" spans="1:14" ht="15.75" thickBot="1">
      <c r="A7" s="139" t="s">
        <v>115</v>
      </c>
      <c r="B7" s="175">
        <v>966</v>
      </c>
      <c r="C7" s="175">
        <v>863</v>
      </c>
      <c r="D7" s="175">
        <v>914</v>
      </c>
      <c r="E7" s="175">
        <v>994</v>
      </c>
      <c r="F7" s="175">
        <v>1447</v>
      </c>
      <c r="G7" s="175">
        <v>2672</v>
      </c>
      <c r="H7" s="175">
        <v>2241</v>
      </c>
      <c r="I7" s="175">
        <v>913</v>
      </c>
      <c r="J7" s="175">
        <v>1097</v>
      </c>
      <c r="K7" s="175">
        <v>895</v>
      </c>
      <c r="L7" s="175">
        <v>1092</v>
      </c>
      <c r="M7" s="175">
        <v>1195</v>
      </c>
      <c r="N7" s="171">
        <f t="shared" si="0"/>
        <v>15289</v>
      </c>
    </row>
    <row r="8" spans="1:14" ht="15.75" thickBot="1">
      <c r="A8" s="139" t="s">
        <v>116</v>
      </c>
      <c r="B8" s="175">
        <v>480</v>
      </c>
      <c r="C8" s="175">
        <v>373</v>
      </c>
      <c r="D8" s="175">
        <v>507</v>
      </c>
      <c r="E8" s="175">
        <v>274</v>
      </c>
      <c r="F8" s="175">
        <v>66</v>
      </c>
      <c r="G8" s="175">
        <v>66</v>
      </c>
      <c r="H8" s="175">
        <v>127</v>
      </c>
      <c r="I8" s="175">
        <v>488</v>
      </c>
      <c r="J8" s="175">
        <v>648</v>
      </c>
      <c r="K8" s="175">
        <v>368</v>
      </c>
      <c r="L8" s="175">
        <v>614</v>
      </c>
      <c r="M8" s="175">
        <v>301</v>
      </c>
      <c r="N8" s="171">
        <f t="shared" si="0"/>
        <v>4312</v>
      </c>
    </row>
    <row r="9" spans="1:14" ht="15.75" thickBot="1">
      <c r="A9" s="139" t="s">
        <v>28</v>
      </c>
      <c r="B9" s="175">
        <v>273</v>
      </c>
      <c r="C9" s="175">
        <v>202</v>
      </c>
      <c r="D9" s="175">
        <v>336</v>
      </c>
      <c r="E9" s="175">
        <v>310</v>
      </c>
      <c r="F9" s="175">
        <v>157</v>
      </c>
      <c r="G9" s="175">
        <v>175</v>
      </c>
      <c r="H9" s="175">
        <v>234</v>
      </c>
      <c r="I9" s="175">
        <v>229</v>
      </c>
      <c r="J9" s="175">
        <v>537</v>
      </c>
      <c r="K9" s="175">
        <v>294</v>
      </c>
      <c r="L9" s="175">
        <v>241</v>
      </c>
      <c r="M9" s="175">
        <v>256</v>
      </c>
      <c r="N9" s="171">
        <f t="shared" si="0"/>
        <v>3244</v>
      </c>
    </row>
    <row r="10" spans="1:14" ht="15.75" thickBot="1">
      <c r="A10" s="139" t="s">
        <v>81</v>
      </c>
      <c r="B10" s="175">
        <f>1300+153</f>
        <v>1453</v>
      </c>
      <c r="C10" s="175">
        <f>964+96</f>
        <v>1060</v>
      </c>
      <c r="D10" s="175">
        <f>1215+130</f>
        <v>1345</v>
      </c>
      <c r="E10" s="175">
        <f>829+37</f>
        <v>866</v>
      </c>
      <c r="F10" s="175">
        <f>569+27</f>
        <v>596</v>
      </c>
      <c r="G10" s="175">
        <f>857+38</f>
        <v>895</v>
      </c>
      <c r="H10" s="175">
        <f>1192+156</f>
        <v>1348</v>
      </c>
      <c r="I10" s="175">
        <f>931+88</f>
        <v>1019</v>
      </c>
      <c r="J10" s="175">
        <f>1388+255</f>
        <v>1643</v>
      </c>
      <c r="K10" s="175">
        <f>888+101</f>
        <v>989</v>
      </c>
      <c r="L10" s="175">
        <f>1184+124</f>
        <v>1308</v>
      </c>
      <c r="M10" s="175">
        <f>806+58</f>
        <v>864</v>
      </c>
      <c r="N10" s="171">
        <f t="shared" si="0"/>
        <v>13386</v>
      </c>
    </row>
    <row r="11" spans="1:14" ht="15.75" thickBot="1">
      <c r="A11" s="139" t="s">
        <v>117</v>
      </c>
      <c r="B11" s="175">
        <v>434</v>
      </c>
      <c r="C11" s="175">
        <v>423</v>
      </c>
      <c r="D11" s="175">
        <v>465</v>
      </c>
      <c r="E11" s="175">
        <v>262</v>
      </c>
      <c r="F11" s="175">
        <v>61</v>
      </c>
      <c r="G11" s="175">
        <v>65</v>
      </c>
      <c r="H11" s="175">
        <v>311</v>
      </c>
      <c r="I11" s="175">
        <v>441</v>
      </c>
      <c r="J11" s="175">
        <v>678</v>
      </c>
      <c r="K11" s="175">
        <v>401</v>
      </c>
      <c r="L11" s="175">
        <v>418</v>
      </c>
      <c r="M11" s="175">
        <v>281</v>
      </c>
      <c r="N11" s="171">
        <f t="shared" si="0"/>
        <v>4240</v>
      </c>
    </row>
    <row r="12" spans="1:14" ht="15.75" thickBot="1">
      <c r="A12" s="139" t="s">
        <v>33</v>
      </c>
      <c r="B12" s="175">
        <v>0</v>
      </c>
      <c r="C12" s="175">
        <v>0</v>
      </c>
      <c r="D12" s="175">
        <v>0</v>
      </c>
      <c r="E12" s="175">
        <v>0</v>
      </c>
      <c r="F12" s="175">
        <v>0</v>
      </c>
      <c r="G12" s="175">
        <v>0</v>
      </c>
      <c r="H12" s="175">
        <v>0</v>
      </c>
      <c r="I12" s="175">
        <v>0</v>
      </c>
      <c r="J12" s="175">
        <v>0</v>
      </c>
      <c r="K12" s="175">
        <v>0</v>
      </c>
      <c r="L12" s="175">
        <v>0</v>
      </c>
      <c r="M12" s="175">
        <v>0</v>
      </c>
      <c r="N12" s="171">
        <f t="shared" si="0"/>
        <v>0</v>
      </c>
    </row>
    <row r="13" spans="1:14" ht="15.75" thickBot="1">
      <c r="A13" s="139" t="s">
        <v>118</v>
      </c>
      <c r="B13" s="175">
        <v>9</v>
      </c>
      <c r="C13" s="175">
        <v>8</v>
      </c>
      <c r="D13" s="175">
        <v>8</v>
      </c>
      <c r="E13" s="175">
        <v>7</v>
      </c>
      <c r="F13" s="175">
        <v>8</v>
      </c>
      <c r="G13" s="175">
        <v>8</v>
      </c>
      <c r="H13" s="175">
        <v>9</v>
      </c>
      <c r="I13" s="175">
        <v>8</v>
      </c>
      <c r="J13" s="175">
        <v>8</v>
      </c>
      <c r="K13" s="175"/>
      <c r="L13" s="175">
        <v>7</v>
      </c>
      <c r="M13" s="175">
        <v>4</v>
      </c>
      <c r="N13" s="171">
        <f t="shared" si="0"/>
        <v>84</v>
      </c>
    </row>
    <row r="14" spans="1:14" ht="15.75" thickBot="1">
      <c r="A14" s="139" t="s">
        <v>76</v>
      </c>
      <c r="B14" s="175">
        <v>429</v>
      </c>
      <c r="C14" s="175">
        <v>323</v>
      </c>
      <c r="D14" s="175" t="s">
        <v>139</v>
      </c>
      <c r="E14" s="175">
        <v>455</v>
      </c>
      <c r="F14" s="175">
        <v>148</v>
      </c>
      <c r="G14" s="175">
        <v>123</v>
      </c>
      <c r="H14" s="175">
        <v>193</v>
      </c>
      <c r="I14" s="175">
        <v>257</v>
      </c>
      <c r="J14" s="175">
        <v>435</v>
      </c>
      <c r="K14" s="175">
        <v>306</v>
      </c>
      <c r="L14" s="175">
        <v>403</v>
      </c>
      <c r="M14" s="175">
        <v>220</v>
      </c>
      <c r="N14" s="171">
        <f t="shared" si="0"/>
        <v>3292</v>
      </c>
    </row>
    <row r="15" spans="1:14" ht="15.75" thickBot="1">
      <c r="A15" s="139" t="s">
        <v>29</v>
      </c>
      <c r="B15" s="175">
        <v>0</v>
      </c>
      <c r="C15" s="175">
        <v>0</v>
      </c>
      <c r="D15" s="175">
        <v>0</v>
      </c>
      <c r="E15" s="175">
        <v>0</v>
      </c>
      <c r="F15" s="175">
        <v>0</v>
      </c>
      <c r="G15" s="175">
        <v>0</v>
      </c>
      <c r="H15" s="175">
        <v>0</v>
      </c>
      <c r="I15" s="175">
        <v>0</v>
      </c>
      <c r="J15" s="175">
        <v>0</v>
      </c>
      <c r="K15" s="175">
        <v>0</v>
      </c>
      <c r="L15" s="175">
        <v>0</v>
      </c>
      <c r="M15" s="175">
        <v>0</v>
      </c>
      <c r="N15" s="171">
        <f t="shared" si="0"/>
        <v>0</v>
      </c>
    </row>
    <row r="16" spans="1:14" ht="15.75" thickBot="1">
      <c r="A16" s="139" t="s">
        <v>119</v>
      </c>
      <c r="B16" s="175">
        <v>1</v>
      </c>
      <c r="C16" s="175">
        <v>10</v>
      </c>
      <c r="D16" s="175">
        <v>33</v>
      </c>
      <c r="E16" s="175">
        <v>10</v>
      </c>
      <c r="F16" s="175">
        <v>5</v>
      </c>
      <c r="G16" s="175">
        <v>16</v>
      </c>
      <c r="H16" s="175">
        <v>46</v>
      </c>
      <c r="I16" s="175">
        <v>15</v>
      </c>
      <c r="J16" s="175">
        <v>193</v>
      </c>
      <c r="K16" s="175">
        <v>19</v>
      </c>
      <c r="L16" s="175">
        <v>138</v>
      </c>
      <c r="M16" s="175">
        <v>129</v>
      </c>
      <c r="N16" s="171">
        <f t="shared" si="0"/>
        <v>615</v>
      </c>
    </row>
    <row r="17" spans="1:14" ht="15.75" thickBot="1">
      <c r="A17" s="139" t="s">
        <v>2</v>
      </c>
      <c r="B17" s="175">
        <v>99</v>
      </c>
      <c r="C17" s="175">
        <v>81</v>
      </c>
      <c r="D17" s="175">
        <v>98</v>
      </c>
      <c r="E17" s="175">
        <v>88</v>
      </c>
      <c r="F17" s="175">
        <v>90</v>
      </c>
      <c r="G17" s="175">
        <v>79</v>
      </c>
      <c r="H17" s="175">
        <v>158</v>
      </c>
      <c r="I17" s="175">
        <v>98</v>
      </c>
      <c r="J17" s="175">
        <v>123</v>
      </c>
      <c r="K17" s="175">
        <v>139</v>
      </c>
      <c r="L17" s="175">
        <v>183</v>
      </c>
      <c r="M17" s="175">
        <v>126</v>
      </c>
      <c r="N17" s="171">
        <f t="shared" si="0"/>
        <v>1362</v>
      </c>
    </row>
    <row r="18" spans="1:14" ht="15.75" thickBot="1">
      <c r="A18" s="139" t="s">
        <v>30</v>
      </c>
      <c r="B18" s="175">
        <v>496</v>
      </c>
      <c r="C18" s="175">
        <v>415</v>
      </c>
      <c r="D18" s="175">
        <v>401</v>
      </c>
      <c r="E18" s="175">
        <v>303</v>
      </c>
      <c r="F18" s="175">
        <v>258</v>
      </c>
      <c r="G18" s="175">
        <v>319</v>
      </c>
      <c r="H18" s="175">
        <v>592</v>
      </c>
      <c r="I18" s="175">
        <v>531</v>
      </c>
      <c r="J18" s="175">
        <v>922</v>
      </c>
      <c r="K18" s="175">
        <v>267</v>
      </c>
      <c r="L18" s="175">
        <v>413</v>
      </c>
      <c r="M18" s="175">
        <v>439</v>
      </c>
      <c r="N18" s="171">
        <f t="shared" si="0"/>
        <v>5356</v>
      </c>
    </row>
    <row r="19" spans="1:14" ht="15.75" thickBot="1">
      <c r="A19" s="139" t="s">
        <v>120</v>
      </c>
      <c r="B19" s="175">
        <v>865</v>
      </c>
      <c r="C19" s="175">
        <v>753</v>
      </c>
      <c r="D19" s="175">
        <v>857</v>
      </c>
      <c r="E19" s="175">
        <v>699</v>
      </c>
      <c r="F19" s="175">
        <v>550</v>
      </c>
      <c r="G19" s="175">
        <v>208</v>
      </c>
      <c r="H19" s="175">
        <v>274</v>
      </c>
      <c r="I19" s="175">
        <v>328</v>
      </c>
      <c r="J19" s="175">
        <v>977</v>
      </c>
      <c r="K19" s="175">
        <v>698</v>
      </c>
      <c r="L19" s="175">
        <v>863</v>
      </c>
      <c r="M19" s="175">
        <v>644</v>
      </c>
      <c r="N19" s="171">
        <f t="shared" si="0"/>
        <v>7716</v>
      </c>
    </row>
    <row r="20" spans="1:14" ht="30.75" thickBot="1">
      <c r="A20" s="139" t="s">
        <v>122</v>
      </c>
      <c r="B20" s="175">
        <v>780</v>
      </c>
      <c r="C20" s="175">
        <v>493</v>
      </c>
      <c r="D20" s="175">
        <v>618</v>
      </c>
      <c r="E20" s="175">
        <v>734</v>
      </c>
      <c r="F20" s="175">
        <v>75</v>
      </c>
      <c r="G20" s="175">
        <v>69</v>
      </c>
      <c r="H20" s="175">
        <v>126</v>
      </c>
      <c r="I20" s="175">
        <v>232</v>
      </c>
      <c r="J20" s="175">
        <v>743</v>
      </c>
      <c r="K20" s="175">
        <v>611</v>
      </c>
      <c r="L20" s="175">
        <v>671</v>
      </c>
      <c r="M20" s="175">
        <v>450</v>
      </c>
      <c r="N20" s="171">
        <f t="shared" si="0"/>
        <v>5602</v>
      </c>
    </row>
    <row r="21" spans="1:14" ht="30.75" thickBot="1">
      <c r="A21" s="139" t="s">
        <v>121</v>
      </c>
      <c r="B21" s="175">
        <v>698</v>
      </c>
      <c r="C21" s="175">
        <v>353</v>
      </c>
      <c r="D21" s="175">
        <v>716</v>
      </c>
      <c r="E21" s="175">
        <v>633</v>
      </c>
      <c r="F21" s="175">
        <v>228</v>
      </c>
      <c r="G21" s="175">
        <v>235</v>
      </c>
      <c r="H21" s="175">
        <v>310</v>
      </c>
      <c r="I21" s="175">
        <v>357</v>
      </c>
      <c r="J21" s="175">
        <v>772</v>
      </c>
      <c r="K21" s="175">
        <v>524</v>
      </c>
      <c r="L21" s="175">
        <v>552</v>
      </c>
      <c r="M21" s="175">
        <v>417</v>
      </c>
      <c r="N21" s="171">
        <f t="shared" si="0"/>
        <v>5795</v>
      </c>
    </row>
    <row r="22" spans="1:14" ht="15.75" thickBot="1">
      <c r="A22" s="139" t="s">
        <v>31</v>
      </c>
      <c r="B22" s="175">
        <v>687</v>
      </c>
      <c r="C22" s="175">
        <v>526</v>
      </c>
      <c r="D22" s="175">
        <v>638</v>
      </c>
      <c r="E22" s="175">
        <f>490</f>
        <v>490</v>
      </c>
      <c r="F22" s="175">
        <v>375</v>
      </c>
      <c r="G22" s="175">
        <v>265</v>
      </c>
      <c r="H22" s="175">
        <v>476</v>
      </c>
      <c r="I22" s="175">
        <v>546</v>
      </c>
      <c r="J22" s="175">
        <v>762</v>
      </c>
      <c r="K22" s="175">
        <v>647</v>
      </c>
      <c r="L22" s="175">
        <v>705</v>
      </c>
      <c r="M22" s="175">
        <v>762</v>
      </c>
      <c r="N22" s="171">
        <f t="shared" si="0"/>
        <v>6879</v>
      </c>
    </row>
    <row r="23" spans="1:14" ht="15" customHeight="1" thickBot="1">
      <c r="A23" s="139" t="s">
        <v>123</v>
      </c>
      <c r="B23" s="175">
        <v>119</v>
      </c>
      <c r="C23" s="175">
        <v>106</v>
      </c>
      <c r="D23" s="175">
        <v>126</v>
      </c>
      <c r="E23" s="175">
        <v>110</v>
      </c>
      <c r="F23" s="175">
        <v>147</v>
      </c>
      <c r="G23" s="175">
        <v>157</v>
      </c>
      <c r="H23" s="175">
        <v>122</v>
      </c>
      <c r="I23" s="175">
        <v>896</v>
      </c>
      <c r="J23" s="175">
        <v>129</v>
      </c>
      <c r="K23" s="175">
        <v>81</v>
      </c>
      <c r="L23" s="175">
        <v>119</v>
      </c>
      <c r="M23" s="175">
        <v>61</v>
      </c>
      <c r="N23" s="171">
        <f t="shared" si="0"/>
        <v>2173</v>
      </c>
    </row>
    <row r="24" spans="1:14" ht="15.75" thickBot="1">
      <c r="A24" s="139" t="s">
        <v>23</v>
      </c>
      <c r="B24" s="175">
        <v>193</v>
      </c>
      <c r="C24" s="175">
        <v>157</v>
      </c>
      <c r="D24" s="175">
        <v>176</v>
      </c>
      <c r="E24" s="175">
        <v>189</v>
      </c>
      <c r="F24" s="175">
        <v>189</v>
      </c>
      <c r="G24" s="175">
        <v>168</v>
      </c>
      <c r="H24" s="175">
        <v>246</v>
      </c>
      <c r="I24" s="175">
        <v>267</v>
      </c>
      <c r="J24" s="175">
        <v>197</v>
      </c>
      <c r="K24" s="175">
        <v>181</v>
      </c>
      <c r="L24" s="175">
        <v>247</v>
      </c>
      <c r="M24" s="175">
        <v>200</v>
      </c>
      <c r="N24" s="265">
        <f t="shared" si="0"/>
        <v>2410</v>
      </c>
    </row>
    <row r="25" spans="1:14" ht="16.5" thickTop="1" thickBot="1">
      <c r="A25" s="140" t="s">
        <v>45</v>
      </c>
      <c r="B25" s="244">
        <f t="shared" ref="B25:M25" si="1">SUM(B4:B24)</f>
        <v>9289</v>
      </c>
      <c r="C25" s="244">
        <f t="shared" si="1"/>
        <v>6974</v>
      </c>
      <c r="D25" s="244">
        <f t="shared" si="1"/>
        <v>8105</v>
      </c>
      <c r="E25" s="244">
        <f t="shared" si="1"/>
        <v>7296</v>
      </c>
      <c r="F25" s="244">
        <f t="shared" si="1"/>
        <v>4585</v>
      </c>
      <c r="G25" s="244">
        <f t="shared" si="1"/>
        <v>5992</v>
      </c>
      <c r="H25" s="244">
        <f t="shared" si="1"/>
        <v>7524</v>
      </c>
      <c r="I25" s="244">
        <f t="shared" si="1"/>
        <v>7143</v>
      </c>
      <c r="J25" s="244">
        <f t="shared" si="1"/>
        <v>10980</v>
      </c>
      <c r="K25" s="244">
        <f t="shared" si="1"/>
        <v>7488</v>
      </c>
      <c r="L25" s="244">
        <f t="shared" si="1"/>
        <v>9097</v>
      </c>
      <c r="M25" s="244">
        <f t="shared" si="1"/>
        <v>6587</v>
      </c>
      <c r="N25" s="245">
        <f t="shared" si="0"/>
        <v>91060</v>
      </c>
    </row>
    <row r="26" spans="1:14">
      <c r="A26" s="126"/>
      <c r="B26" s="226"/>
      <c r="C26" s="226"/>
      <c r="D26" s="226"/>
      <c r="E26" s="226"/>
      <c r="F26" s="226"/>
      <c r="G26" s="226"/>
      <c r="H26" s="226"/>
      <c r="I26" s="226"/>
      <c r="J26" s="226"/>
      <c r="K26" s="226"/>
      <c r="L26" s="226"/>
      <c r="M26" s="226"/>
      <c r="N26" s="226"/>
    </row>
    <row r="27" spans="1:14" ht="15.75" thickBot="1">
      <c r="A27" s="6" t="s">
        <v>8</v>
      </c>
      <c r="B27" s="226"/>
      <c r="C27" s="226"/>
      <c r="D27" s="226"/>
      <c r="E27" s="226"/>
      <c r="F27" s="226"/>
      <c r="G27" s="226"/>
      <c r="H27" s="226"/>
      <c r="I27" s="226"/>
      <c r="J27" s="226"/>
      <c r="K27" s="226"/>
      <c r="L27" s="226"/>
      <c r="M27" s="226"/>
      <c r="N27" s="226"/>
    </row>
    <row r="28" spans="1:14">
      <c r="A28" s="138" t="s">
        <v>105</v>
      </c>
      <c r="B28" s="175">
        <v>220</v>
      </c>
      <c r="C28" s="175"/>
      <c r="D28" s="175">
        <v>0</v>
      </c>
      <c r="E28" s="175"/>
      <c r="F28" s="175"/>
      <c r="G28" s="175">
        <v>0</v>
      </c>
      <c r="H28" s="175">
        <v>0</v>
      </c>
      <c r="I28" s="175">
        <v>0</v>
      </c>
      <c r="J28" s="175">
        <v>0</v>
      </c>
      <c r="K28" s="175">
        <v>0</v>
      </c>
      <c r="L28" s="175">
        <v>0</v>
      </c>
      <c r="M28" s="175">
        <v>0</v>
      </c>
      <c r="N28" s="170">
        <f>SUM(B28:M28)</f>
        <v>220</v>
      </c>
    </row>
    <row r="29" spans="1:14">
      <c r="A29" s="139" t="s">
        <v>85</v>
      </c>
      <c r="B29" s="172">
        <v>22</v>
      </c>
      <c r="C29" s="172"/>
      <c r="D29" s="172">
        <v>22</v>
      </c>
      <c r="E29" s="172">
        <v>7</v>
      </c>
      <c r="F29" s="172">
        <v>6</v>
      </c>
      <c r="G29" s="172">
        <v>18</v>
      </c>
      <c r="H29" s="172"/>
      <c r="I29" s="172">
        <v>5</v>
      </c>
      <c r="J29" s="172">
        <v>5</v>
      </c>
      <c r="K29" s="172">
        <v>6</v>
      </c>
      <c r="L29" s="172">
        <v>11</v>
      </c>
      <c r="M29" s="172">
        <v>14</v>
      </c>
      <c r="N29" s="171">
        <f t="shared" ref="N29:N36" si="2">SUM(B29:M29)</f>
        <v>116</v>
      </c>
    </row>
    <row r="30" spans="1:14">
      <c r="A30" s="139" t="s">
        <v>106</v>
      </c>
      <c r="B30" s="172">
        <v>1</v>
      </c>
      <c r="C30" s="172">
        <v>4</v>
      </c>
      <c r="D30" s="172">
        <v>2</v>
      </c>
      <c r="E30" s="172">
        <v>4</v>
      </c>
      <c r="F30" s="172">
        <v>3</v>
      </c>
      <c r="G30" s="172">
        <v>2</v>
      </c>
      <c r="H30" s="172">
        <v>1</v>
      </c>
      <c r="I30" s="172">
        <v>1</v>
      </c>
      <c r="J30" s="172">
        <v>3</v>
      </c>
      <c r="K30" s="172">
        <v>5</v>
      </c>
      <c r="L30" s="172">
        <v>4</v>
      </c>
      <c r="M30" s="172">
        <v>2</v>
      </c>
      <c r="N30" s="171">
        <f t="shared" si="2"/>
        <v>32</v>
      </c>
    </row>
    <row r="31" spans="1:14">
      <c r="A31" s="139" t="s">
        <v>107</v>
      </c>
      <c r="B31" s="172">
        <v>232</v>
      </c>
      <c r="C31" s="172">
        <v>91</v>
      </c>
      <c r="D31" s="172">
        <v>77</v>
      </c>
      <c r="E31" s="172">
        <v>86</v>
      </c>
      <c r="F31" s="172">
        <v>56</v>
      </c>
      <c r="G31" s="172">
        <v>60</v>
      </c>
      <c r="H31" s="172">
        <v>77</v>
      </c>
      <c r="I31" s="172">
        <v>70</v>
      </c>
      <c r="J31" s="172">
        <v>116</v>
      </c>
      <c r="K31" s="172">
        <v>107</v>
      </c>
      <c r="L31" s="172">
        <v>111</v>
      </c>
      <c r="M31" s="172">
        <v>91</v>
      </c>
      <c r="N31" s="171">
        <f t="shared" si="2"/>
        <v>1174</v>
      </c>
    </row>
    <row r="32" spans="1:14">
      <c r="A32" s="139" t="s">
        <v>108</v>
      </c>
      <c r="B32" s="172">
        <v>87</v>
      </c>
      <c r="C32" s="172">
        <v>116</v>
      </c>
      <c r="D32" s="172">
        <v>108</v>
      </c>
      <c r="E32" s="172">
        <v>107</v>
      </c>
      <c r="F32" s="172">
        <v>42</v>
      </c>
      <c r="G32" s="172">
        <v>38</v>
      </c>
      <c r="H32" s="172">
        <v>50</v>
      </c>
      <c r="I32" s="172">
        <v>41</v>
      </c>
      <c r="J32" s="172">
        <v>105</v>
      </c>
      <c r="K32" s="172">
        <v>107</v>
      </c>
      <c r="L32" s="172">
        <v>115</v>
      </c>
      <c r="M32" s="172">
        <v>96</v>
      </c>
      <c r="N32" s="171">
        <f t="shared" si="2"/>
        <v>1012</v>
      </c>
    </row>
    <row r="33" spans="1:14">
      <c r="A33" s="139" t="s">
        <v>87</v>
      </c>
      <c r="B33" s="172">
        <v>9</v>
      </c>
      <c r="C33" s="172">
        <v>10</v>
      </c>
      <c r="D33" s="172">
        <v>12</v>
      </c>
      <c r="E33" s="172">
        <v>12</v>
      </c>
      <c r="F33" s="172">
        <v>8</v>
      </c>
      <c r="G33" s="172">
        <v>6</v>
      </c>
      <c r="H33" s="172">
        <v>11</v>
      </c>
      <c r="I33" s="172">
        <v>8</v>
      </c>
      <c r="J33" s="172">
        <v>18</v>
      </c>
      <c r="K33" s="172">
        <v>19</v>
      </c>
      <c r="L33" s="172">
        <v>20</v>
      </c>
      <c r="M33" s="172">
        <v>16</v>
      </c>
      <c r="N33" s="171">
        <f t="shared" si="2"/>
        <v>149</v>
      </c>
    </row>
    <row r="34" spans="1:14">
      <c r="A34" s="139" t="s">
        <v>88</v>
      </c>
      <c r="B34" s="172">
        <v>20</v>
      </c>
      <c r="C34" s="172">
        <v>24</v>
      </c>
      <c r="D34" s="172">
        <v>27</v>
      </c>
      <c r="E34" s="172">
        <v>25</v>
      </c>
      <c r="F34" s="172">
        <v>1</v>
      </c>
      <c r="G34" s="172">
        <v>0</v>
      </c>
      <c r="H34" s="172">
        <v>0</v>
      </c>
      <c r="I34" s="172">
        <v>3</v>
      </c>
      <c r="J34" s="172">
        <v>30</v>
      </c>
      <c r="K34" s="172">
        <v>35</v>
      </c>
      <c r="L34" s="172">
        <v>36</v>
      </c>
      <c r="M34" s="172">
        <v>28</v>
      </c>
      <c r="N34" s="171">
        <f t="shared" si="2"/>
        <v>229</v>
      </c>
    </row>
    <row r="35" spans="1:14" ht="15.75" thickBot="1">
      <c r="A35" s="139" t="s">
        <v>109</v>
      </c>
      <c r="B35" s="173">
        <v>23</v>
      </c>
      <c r="C35" s="173"/>
      <c r="D35" s="173">
        <v>4</v>
      </c>
      <c r="E35" s="173">
        <v>3</v>
      </c>
      <c r="F35" s="173">
        <v>1</v>
      </c>
      <c r="G35" s="173">
        <v>1</v>
      </c>
      <c r="H35" s="173"/>
      <c r="I35" s="173">
        <v>5</v>
      </c>
      <c r="J35" s="173">
        <v>7</v>
      </c>
      <c r="K35" s="173">
        <v>6</v>
      </c>
      <c r="L35" s="173">
        <v>3</v>
      </c>
      <c r="M35" s="173">
        <v>3</v>
      </c>
      <c r="N35" s="174">
        <f t="shared" si="2"/>
        <v>56</v>
      </c>
    </row>
    <row r="36" spans="1:14" ht="16.5" thickTop="1" thickBot="1">
      <c r="A36" s="137" t="s">
        <v>46</v>
      </c>
      <c r="B36" s="244">
        <f>SUM(B28:B35)</f>
        <v>614</v>
      </c>
      <c r="C36" s="244">
        <f t="shared" ref="C36:M36" si="3">SUM(C28:C35)</f>
        <v>245</v>
      </c>
      <c r="D36" s="244">
        <f t="shared" si="3"/>
        <v>252</v>
      </c>
      <c r="E36" s="244">
        <f t="shared" si="3"/>
        <v>244</v>
      </c>
      <c r="F36" s="244">
        <f t="shared" si="3"/>
        <v>117</v>
      </c>
      <c r="G36" s="244">
        <f t="shared" si="3"/>
        <v>125</v>
      </c>
      <c r="H36" s="244">
        <f t="shared" si="3"/>
        <v>139</v>
      </c>
      <c r="I36" s="244">
        <f t="shared" si="3"/>
        <v>133</v>
      </c>
      <c r="J36" s="244">
        <f t="shared" si="3"/>
        <v>284</v>
      </c>
      <c r="K36" s="244">
        <f t="shared" si="3"/>
        <v>285</v>
      </c>
      <c r="L36" s="244">
        <f t="shared" si="3"/>
        <v>300</v>
      </c>
      <c r="M36" s="244">
        <f t="shared" si="3"/>
        <v>250</v>
      </c>
      <c r="N36" s="245">
        <f t="shared" si="2"/>
        <v>2988</v>
      </c>
    </row>
    <row r="37" spans="1:14" ht="15.75" thickBot="1">
      <c r="A37" s="126"/>
      <c r="B37" s="226"/>
      <c r="C37" s="226"/>
      <c r="D37" s="226"/>
      <c r="E37" s="226"/>
      <c r="F37" s="226"/>
      <c r="G37" s="226"/>
      <c r="H37" s="226"/>
      <c r="I37" s="226"/>
      <c r="J37" s="226"/>
      <c r="K37" s="226"/>
      <c r="L37" s="226"/>
      <c r="M37" s="226"/>
      <c r="N37" s="226"/>
    </row>
    <row r="38" spans="1:14" ht="15.75" thickBot="1">
      <c r="A38" s="152" t="s">
        <v>20</v>
      </c>
      <c r="B38" s="266">
        <v>230</v>
      </c>
      <c r="C38" s="266"/>
      <c r="D38" s="266">
        <v>260</v>
      </c>
      <c r="E38" s="266"/>
      <c r="F38" s="266">
        <v>240</v>
      </c>
      <c r="G38" s="266"/>
      <c r="H38" s="266">
        <v>140</v>
      </c>
      <c r="I38" s="266"/>
      <c r="J38" s="266">
        <v>80</v>
      </c>
      <c r="K38" s="266"/>
      <c r="L38" s="266">
        <v>135</v>
      </c>
      <c r="M38" s="266"/>
      <c r="N38" s="267">
        <f>SUM(B38:M38)</f>
        <v>1085</v>
      </c>
    </row>
    <row r="39" spans="1:14" ht="15.75" thickBot="1">
      <c r="A39" s="269"/>
      <c r="B39" s="268"/>
      <c r="C39" s="268"/>
      <c r="D39" s="268"/>
      <c r="E39" s="268"/>
      <c r="F39" s="268"/>
      <c r="G39" s="268"/>
      <c r="H39" s="268"/>
      <c r="I39" s="268"/>
      <c r="J39" s="268"/>
      <c r="K39" s="268"/>
      <c r="L39" s="268"/>
      <c r="M39" s="268"/>
      <c r="N39" s="268"/>
    </row>
    <row r="40" spans="1:14" ht="15.75" thickBot="1">
      <c r="A40" s="151" t="s">
        <v>67</v>
      </c>
      <c r="B40" s="246">
        <f t="shared" ref="B40:N40" si="4">B25+B36+B38</f>
        <v>10133</v>
      </c>
      <c r="C40" s="246">
        <f t="shared" si="4"/>
        <v>7219</v>
      </c>
      <c r="D40" s="246">
        <f t="shared" si="4"/>
        <v>8617</v>
      </c>
      <c r="E40" s="246">
        <f t="shared" si="4"/>
        <v>7540</v>
      </c>
      <c r="F40" s="246">
        <f t="shared" si="4"/>
        <v>4942</v>
      </c>
      <c r="G40" s="246">
        <f t="shared" si="4"/>
        <v>6117</v>
      </c>
      <c r="H40" s="246">
        <f t="shared" si="4"/>
        <v>7803</v>
      </c>
      <c r="I40" s="246">
        <f t="shared" si="4"/>
        <v>7276</v>
      </c>
      <c r="J40" s="246">
        <f t="shared" si="4"/>
        <v>11344</v>
      </c>
      <c r="K40" s="246">
        <f t="shared" si="4"/>
        <v>7773</v>
      </c>
      <c r="L40" s="246">
        <f t="shared" si="4"/>
        <v>9532</v>
      </c>
      <c r="M40" s="246">
        <f t="shared" si="4"/>
        <v>6837</v>
      </c>
      <c r="N40" s="247">
        <f t="shared" si="4"/>
        <v>95133</v>
      </c>
    </row>
    <row r="42" spans="1:14">
      <c r="N42" s="22"/>
    </row>
    <row r="43" spans="1:14">
      <c r="N43" s="22"/>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40"/>
  <sheetViews>
    <sheetView topLeftCell="A19" workbookViewId="0">
      <selection activeCell="P25" sqref="P25:P28"/>
    </sheetView>
  </sheetViews>
  <sheetFormatPr defaultColWidth="8.85546875" defaultRowHeight="15"/>
  <cols>
    <col min="1" max="1" width="27.7109375" style="74" customWidth="1"/>
    <col min="2" max="13" width="9.28515625" style="17" bestFit="1" customWidth="1"/>
    <col min="14" max="14" width="10.140625" style="17" bestFit="1" customWidth="1"/>
    <col min="15" max="16384" width="8.85546875" style="17"/>
  </cols>
  <sheetData>
    <row r="1" spans="1:14" ht="17.25" thickBot="1">
      <c r="A1" s="152" t="s">
        <v>0</v>
      </c>
      <c r="B1" s="153">
        <v>43831</v>
      </c>
      <c r="C1" s="153">
        <v>43862</v>
      </c>
      <c r="D1" s="153">
        <v>43891</v>
      </c>
      <c r="E1" s="153">
        <v>43922</v>
      </c>
      <c r="F1" s="153">
        <v>43952</v>
      </c>
      <c r="G1" s="153">
        <v>43983</v>
      </c>
      <c r="H1" s="153">
        <v>44013</v>
      </c>
      <c r="I1" s="153">
        <v>44044</v>
      </c>
      <c r="J1" s="153">
        <v>44075</v>
      </c>
      <c r="K1" s="153">
        <v>44105</v>
      </c>
      <c r="L1" s="153">
        <v>44136</v>
      </c>
      <c r="M1" s="153">
        <v>44166</v>
      </c>
      <c r="N1" s="154" t="s">
        <v>131</v>
      </c>
    </row>
    <row r="2" spans="1:14">
      <c r="A2" s="126"/>
      <c r="B2" s="127"/>
      <c r="C2" s="127"/>
      <c r="D2" s="127"/>
      <c r="E2" s="127"/>
      <c r="F2" s="127"/>
      <c r="G2" s="127"/>
      <c r="H2" s="127"/>
      <c r="I2" s="127"/>
      <c r="J2" s="127"/>
      <c r="K2" s="127"/>
      <c r="L2" s="127"/>
      <c r="M2" s="127"/>
      <c r="N2" s="128"/>
    </row>
    <row r="3" spans="1:14">
      <c r="A3" s="6" t="s">
        <v>51</v>
      </c>
      <c r="B3" s="127"/>
      <c r="C3" s="127"/>
      <c r="D3" s="127"/>
      <c r="E3" s="127"/>
      <c r="F3" s="127"/>
      <c r="G3" s="127"/>
      <c r="H3" s="127"/>
      <c r="I3" s="127"/>
      <c r="J3" s="127"/>
      <c r="K3" s="127"/>
      <c r="L3" s="127"/>
      <c r="M3" s="127"/>
      <c r="N3" s="128"/>
    </row>
    <row r="4" spans="1:14">
      <c r="A4" s="139" t="s">
        <v>25</v>
      </c>
      <c r="B4" s="172">
        <v>242</v>
      </c>
      <c r="C4" s="172">
        <v>187</v>
      </c>
      <c r="D4" s="172">
        <v>105</v>
      </c>
      <c r="E4" s="172">
        <v>4</v>
      </c>
      <c r="F4" s="172">
        <v>3</v>
      </c>
      <c r="G4" s="172">
        <v>7</v>
      </c>
      <c r="H4" s="172">
        <v>31</v>
      </c>
      <c r="I4" s="172">
        <v>32</v>
      </c>
      <c r="J4" s="172">
        <v>110</v>
      </c>
      <c r="K4" s="172">
        <v>123</v>
      </c>
      <c r="L4" s="172">
        <v>116</v>
      </c>
      <c r="M4" s="172">
        <v>121</v>
      </c>
      <c r="N4" s="172">
        <f t="shared" ref="N4:N25" si="0">SUM(B4:M4)</f>
        <v>1081</v>
      </c>
    </row>
    <row r="5" spans="1:14">
      <c r="A5" s="139" t="s">
        <v>24</v>
      </c>
      <c r="B5" s="172">
        <v>636</v>
      </c>
      <c r="C5" s="172">
        <v>536</v>
      </c>
      <c r="D5" s="172">
        <v>260</v>
      </c>
      <c r="E5" s="172">
        <v>250</v>
      </c>
      <c r="F5" s="172">
        <v>0</v>
      </c>
      <c r="G5" s="172">
        <v>0</v>
      </c>
      <c r="H5" s="172">
        <v>0</v>
      </c>
      <c r="I5" s="172">
        <v>369</v>
      </c>
      <c r="J5" s="172">
        <v>600</v>
      </c>
      <c r="K5" s="172">
        <v>0</v>
      </c>
      <c r="L5" s="172">
        <v>265</v>
      </c>
      <c r="M5" s="172">
        <v>274</v>
      </c>
      <c r="N5" s="172">
        <f t="shared" si="0"/>
        <v>3190</v>
      </c>
    </row>
    <row r="6" spans="1:14">
      <c r="A6" s="139" t="s">
        <v>27</v>
      </c>
      <c r="B6" s="172">
        <v>107</v>
      </c>
      <c r="C6" s="172">
        <v>115</v>
      </c>
      <c r="D6" s="172">
        <v>40</v>
      </c>
      <c r="E6" s="172">
        <v>5</v>
      </c>
      <c r="F6" s="172">
        <v>156</v>
      </c>
      <c r="G6" s="172">
        <v>89</v>
      </c>
      <c r="H6" s="172">
        <v>0</v>
      </c>
      <c r="I6" s="172">
        <v>58</v>
      </c>
      <c r="J6" s="172">
        <v>103</v>
      </c>
      <c r="K6" s="172">
        <v>259</v>
      </c>
      <c r="L6" s="172">
        <v>67</v>
      </c>
      <c r="M6" s="172">
        <v>41</v>
      </c>
      <c r="N6" s="172">
        <f t="shared" si="0"/>
        <v>1040</v>
      </c>
    </row>
    <row r="7" spans="1:14">
      <c r="A7" s="139" t="s">
        <v>115</v>
      </c>
      <c r="B7" s="172">
        <v>1060</v>
      </c>
      <c r="C7" s="172">
        <v>951</v>
      </c>
      <c r="D7" s="172">
        <v>450</v>
      </c>
      <c r="E7" s="172">
        <v>450</v>
      </c>
      <c r="F7" s="172">
        <v>1649</v>
      </c>
      <c r="G7" s="172">
        <v>787</v>
      </c>
      <c r="H7" s="172">
        <v>898</v>
      </c>
      <c r="I7" s="172">
        <v>879</v>
      </c>
      <c r="J7" s="172">
        <v>770</v>
      </c>
      <c r="K7" s="172">
        <v>838</v>
      </c>
      <c r="L7" s="172">
        <v>801</v>
      </c>
      <c r="M7" s="172">
        <v>952</v>
      </c>
      <c r="N7" s="172">
        <f t="shared" si="0"/>
        <v>10485</v>
      </c>
    </row>
    <row r="8" spans="1:14">
      <c r="A8" s="139" t="s">
        <v>116</v>
      </c>
      <c r="B8" s="172">
        <v>602</v>
      </c>
      <c r="C8" s="172">
        <v>491</v>
      </c>
      <c r="D8" s="172">
        <v>250</v>
      </c>
      <c r="E8" s="172">
        <v>60</v>
      </c>
      <c r="F8" s="172">
        <v>157</v>
      </c>
      <c r="G8" s="172">
        <v>74</v>
      </c>
      <c r="H8" s="172">
        <v>38</v>
      </c>
      <c r="I8" s="172">
        <v>131</v>
      </c>
      <c r="J8" s="172">
        <v>354</v>
      </c>
      <c r="K8" s="172">
        <v>0</v>
      </c>
      <c r="L8" s="172">
        <v>782</v>
      </c>
      <c r="M8" s="172">
        <v>229</v>
      </c>
      <c r="N8" s="172">
        <f t="shared" si="0"/>
        <v>3168</v>
      </c>
    </row>
    <row r="9" spans="1:14">
      <c r="A9" s="139" t="s">
        <v>28</v>
      </c>
      <c r="B9" s="172">
        <v>345</v>
      </c>
      <c r="C9" s="172">
        <v>285</v>
      </c>
      <c r="D9" s="172">
        <v>2</v>
      </c>
      <c r="E9" s="172">
        <v>0</v>
      </c>
      <c r="F9" s="172">
        <v>0</v>
      </c>
      <c r="G9" s="172">
        <v>0</v>
      </c>
      <c r="H9" s="172">
        <v>0</v>
      </c>
      <c r="I9" s="172">
        <v>0</v>
      </c>
      <c r="J9" s="172">
        <v>0</v>
      </c>
      <c r="K9" s="172">
        <v>0</v>
      </c>
      <c r="L9" s="172">
        <v>0</v>
      </c>
      <c r="M9" s="172">
        <v>0</v>
      </c>
      <c r="N9" s="172">
        <f t="shared" si="0"/>
        <v>632</v>
      </c>
    </row>
    <row r="10" spans="1:14">
      <c r="A10" s="139" t="s">
        <v>81</v>
      </c>
      <c r="B10" s="172">
        <f>1184+162</f>
        <v>1346</v>
      </c>
      <c r="C10" s="172">
        <f>934+108</f>
        <v>1042</v>
      </c>
      <c r="D10" s="172">
        <v>600</v>
      </c>
      <c r="E10" s="172">
        <v>300</v>
      </c>
      <c r="F10" s="172">
        <f>475+64</f>
        <v>539</v>
      </c>
      <c r="G10" s="172">
        <f>898+11</f>
        <v>909</v>
      </c>
      <c r="H10" s="172">
        <f>910+8</f>
        <v>918</v>
      </c>
      <c r="I10" s="172">
        <f>122+25</f>
        <v>147</v>
      </c>
      <c r="J10" s="172">
        <f>1770+89</f>
        <v>1859</v>
      </c>
      <c r="K10" s="172">
        <f>940+42</f>
        <v>982</v>
      </c>
      <c r="L10" s="172">
        <f>1105+33</f>
        <v>1138</v>
      </c>
      <c r="M10" s="172">
        <f>768+9</f>
        <v>777</v>
      </c>
      <c r="N10" s="172">
        <f t="shared" si="0"/>
        <v>10557</v>
      </c>
    </row>
    <row r="11" spans="1:14">
      <c r="A11" s="139" t="s">
        <v>117</v>
      </c>
      <c r="B11" s="172">
        <v>530</v>
      </c>
      <c r="C11" s="172">
        <v>391</v>
      </c>
      <c r="D11" s="172">
        <v>230</v>
      </c>
      <c r="E11" s="172">
        <v>60</v>
      </c>
      <c r="F11" s="172">
        <v>0</v>
      </c>
      <c r="G11" s="172">
        <v>0</v>
      </c>
      <c r="H11" s="172">
        <v>0</v>
      </c>
      <c r="I11" s="172">
        <v>58</v>
      </c>
      <c r="J11" s="172">
        <v>280</v>
      </c>
      <c r="K11" s="172">
        <v>206</v>
      </c>
      <c r="L11" s="172">
        <v>297</v>
      </c>
      <c r="M11" s="172">
        <v>203</v>
      </c>
      <c r="N11" s="172">
        <f t="shared" si="0"/>
        <v>2255</v>
      </c>
    </row>
    <row r="12" spans="1:14">
      <c r="A12" s="139" t="s">
        <v>33</v>
      </c>
      <c r="B12" s="172">
        <v>0</v>
      </c>
      <c r="C12" s="172">
        <v>0</v>
      </c>
      <c r="D12" s="172">
        <v>0</v>
      </c>
      <c r="E12" s="172">
        <v>0</v>
      </c>
      <c r="F12" s="172">
        <v>0</v>
      </c>
      <c r="G12" s="172">
        <v>0</v>
      </c>
      <c r="H12" s="172">
        <v>0</v>
      </c>
      <c r="I12" s="172">
        <v>0</v>
      </c>
      <c r="J12" s="172">
        <v>0</v>
      </c>
      <c r="K12" s="172">
        <v>0</v>
      </c>
      <c r="L12" s="172">
        <v>0</v>
      </c>
      <c r="M12" s="172">
        <v>0</v>
      </c>
      <c r="N12" s="172">
        <f t="shared" si="0"/>
        <v>0</v>
      </c>
    </row>
    <row r="13" spans="1:14">
      <c r="A13" s="139" t="s">
        <v>118</v>
      </c>
      <c r="B13" s="172">
        <v>7</v>
      </c>
      <c r="C13" s="172">
        <v>6</v>
      </c>
      <c r="D13" s="172">
        <v>2</v>
      </c>
      <c r="E13" s="172">
        <v>0</v>
      </c>
      <c r="F13" s="172">
        <v>0</v>
      </c>
      <c r="G13" s="172">
        <v>1</v>
      </c>
      <c r="H13" s="172">
        <v>1</v>
      </c>
      <c r="I13" s="172">
        <v>0</v>
      </c>
      <c r="J13" s="172">
        <v>1</v>
      </c>
      <c r="K13" s="172">
        <v>1</v>
      </c>
      <c r="L13" s="172">
        <v>1</v>
      </c>
      <c r="M13" s="172">
        <v>0</v>
      </c>
      <c r="N13" s="172">
        <f t="shared" si="0"/>
        <v>20</v>
      </c>
    </row>
    <row r="14" spans="1:14">
      <c r="A14" s="139" t="s">
        <v>76</v>
      </c>
      <c r="B14" s="172">
        <v>276</v>
      </c>
      <c r="C14" s="172">
        <v>214</v>
      </c>
      <c r="D14" s="172">
        <v>127</v>
      </c>
      <c r="E14" s="172">
        <v>35</v>
      </c>
      <c r="F14" s="172">
        <v>31</v>
      </c>
      <c r="G14" s="172">
        <v>35</v>
      </c>
      <c r="H14" s="172">
        <v>35</v>
      </c>
      <c r="I14" s="172">
        <v>31</v>
      </c>
      <c r="J14" s="172">
        <v>151</v>
      </c>
      <c r="K14" s="172">
        <v>142</v>
      </c>
      <c r="L14" s="172">
        <v>220</v>
      </c>
      <c r="M14" s="172">
        <v>164</v>
      </c>
      <c r="N14" s="172">
        <f t="shared" si="0"/>
        <v>1461</v>
      </c>
    </row>
    <row r="15" spans="1:14">
      <c r="A15" s="139" t="s">
        <v>29</v>
      </c>
      <c r="B15" s="172">
        <v>0</v>
      </c>
      <c r="C15" s="172">
        <v>0</v>
      </c>
      <c r="D15" s="172">
        <v>0</v>
      </c>
      <c r="E15" s="172">
        <v>0</v>
      </c>
      <c r="F15" s="172">
        <v>0</v>
      </c>
      <c r="G15" s="172">
        <v>0</v>
      </c>
      <c r="H15" s="172">
        <v>0</v>
      </c>
      <c r="I15" s="172">
        <v>0</v>
      </c>
      <c r="J15" s="172">
        <v>0</v>
      </c>
      <c r="K15" s="172">
        <v>0</v>
      </c>
      <c r="L15" s="172">
        <v>0</v>
      </c>
      <c r="M15" s="172">
        <v>0</v>
      </c>
      <c r="N15" s="172">
        <f t="shared" si="0"/>
        <v>0</v>
      </c>
    </row>
    <row r="16" spans="1:14">
      <c r="A16" s="139" t="s">
        <v>119</v>
      </c>
      <c r="B16" s="172">
        <v>2</v>
      </c>
      <c r="C16" s="172">
        <v>0</v>
      </c>
      <c r="D16" s="172">
        <v>1</v>
      </c>
      <c r="E16" s="172">
        <v>0</v>
      </c>
      <c r="F16" s="172">
        <v>0</v>
      </c>
      <c r="G16" s="172">
        <v>1</v>
      </c>
      <c r="H16" s="172">
        <v>0</v>
      </c>
      <c r="I16" s="172">
        <v>0</v>
      </c>
      <c r="J16" s="172">
        <v>4</v>
      </c>
      <c r="K16" s="172">
        <v>3</v>
      </c>
      <c r="L16" s="172">
        <v>3</v>
      </c>
      <c r="M16" s="172">
        <v>0</v>
      </c>
      <c r="N16" s="172">
        <f t="shared" si="0"/>
        <v>14</v>
      </c>
    </row>
    <row r="17" spans="1:16">
      <c r="A17" s="139" t="s">
        <v>2</v>
      </c>
      <c r="B17" s="172">
        <v>165</v>
      </c>
      <c r="C17" s="172">
        <v>135</v>
      </c>
      <c r="D17" s="172">
        <v>50</v>
      </c>
      <c r="E17" s="172">
        <v>50</v>
      </c>
      <c r="F17" s="172">
        <v>326</v>
      </c>
      <c r="G17" s="172">
        <v>159</v>
      </c>
      <c r="H17" s="172">
        <v>50</v>
      </c>
      <c r="I17" s="172">
        <v>127</v>
      </c>
      <c r="J17" s="172">
        <v>164</v>
      </c>
      <c r="K17" s="172">
        <v>184</v>
      </c>
      <c r="L17" s="172">
        <v>113</v>
      </c>
      <c r="M17" s="172">
        <v>24</v>
      </c>
      <c r="N17" s="172">
        <f t="shared" si="0"/>
        <v>1547</v>
      </c>
    </row>
    <row r="18" spans="1:16">
      <c r="A18" s="139" t="s">
        <v>30</v>
      </c>
      <c r="B18" s="172">
        <v>439</v>
      </c>
      <c r="C18" s="172">
        <v>415</v>
      </c>
      <c r="D18" s="172">
        <v>200</v>
      </c>
      <c r="E18" s="172">
        <v>200</v>
      </c>
      <c r="F18" s="172">
        <v>300</v>
      </c>
      <c r="G18" s="172">
        <v>300</v>
      </c>
      <c r="H18" s="172">
        <v>500</v>
      </c>
      <c r="I18" s="172">
        <v>0</v>
      </c>
      <c r="J18" s="172">
        <v>494</v>
      </c>
      <c r="K18" s="172">
        <v>92</v>
      </c>
      <c r="L18" s="172">
        <v>229</v>
      </c>
      <c r="M18" s="172">
        <v>463</v>
      </c>
      <c r="N18" s="172">
        <f t="shared" si="0"/>
        <v>3632</v>
      </c>
    </row>
    <row r="19" spans="1:16">
      <c r="A19" s="139" t="s">
        <v>120</v>
      </c>
      <c r="B19" s="172">
        <v>857</v>
      </c>
      <c r="C19" s="172">
        <v>643</v>
      </c>
      <c r="D19" s="172">
        <v>425</v>
      </c>
      <c r="E19" s="172">
        <v>100</v>
      </c>
      <c r="F19" s="172">
        <v>438</v>
      </c>
      <c r="G19" s="172">
        <v>65</v>
      </c>
      <c r="H19" s="172">
        <v>67</v>
      </c>
      <c r="I19" s="172">
        <v>96</v>
      </c>
      <c r="J19" s="172">
        <v>204</v>
      </c>
      <c r="K19" s="172">
        <v>92</v>
      </c>
      <c r="L19" s="172">
        <v>116</v>
      </c>
      <c r="M19" s="172">
        <v>0</v>
      </c>
      <c r="N19" s="172">
        <f t="shared" si="0"/>
        <v>3103</v>
      </c>
    </row>
    <row r="20" spans="1:16" ht="30">
      <c r="A20" s="139" t="s">
        <v>122</v>
      </c>
      <c r="B20" s="172">
        <v>860</v>
      </c>
      <c r="C20" s="172">
        <v>485</v>
      </c>
      <c r="D20" s="172">
        <v>411</v>
      </c>
      <c r="E20" s="172">
        <v>65</v>
      </c>
      <c r="F20" s="172">
        <v>53</v>
      </c>
      <c r="G20" s="172">
        <v>74</v>
      </c>
      <c r="H20" s="172">
        <v>97</v>
      </c>
      <c r="I20" s="172">
        <v>50</v>
      </c>
      <c r="J20" s="172">
        <v>500</v>
      </c>
      <c r="K20" s="172">
        <v>100</v>
      </c>
      <c r="L20" s="172">
        <v>50</v>
      </c>
      <c r="M20" s="172">
        <v>0</v>
      </c>
      <c r="N20" s="172">
        <f t="shared" si="0"/>
        <v>2745</v>
      </c>
    </row>
    <row r="21" spans="1:16" ht="30">
      <c r="A21" s="139" t="s">
        <v>121</v>
      </c>
      <c r="B21" s="172">
        <v>733</v>
      </c>
      <c r="C21" s="172">
        <v>496</v>
      </c>
      <c r="D21" s="172">
        <v>350</v>
      </c>
      <c r="E21" s="172">
        <v>25</v>
      </c>
      <c r="F21" s="172">
        <v>66</v>
      </c>
      <c r="G21" s="172">
        <v>44</v>
      </c>
      <c r="H21" s="172">
        <v>34</v>
      </c>
      <c r="I21" s="172">
        <v>350</v>
      </c>
      <c r="J21" s="172">
        <v>500</v>
      </c>
      <c r="K21" s="172">
        <v>200</v>
      </c>
      <c r="L21" s="172">
        <v>20</v>
      </c>
      <c r="M21" s="172">
        <v>0</v>
      </c>
      <c r="N21" s="172">
        <f t="shared" si="0"/>
        <v>2818</v>
      </c>
    </row>
    <row r="22" spans="1:16">
      <c r="A22" s="139" t="s">
        <v>31</v>
      </c>
      <c r="B22" s="172">
        <v>560</v>
      </c>
      <c r="C22" s="172">
        <v>515</v>
      </c>
      <c r="D22" s="172">
        <v>300</v>
      </c>
      <c r="E22" s="172">
        <v>250</v>
      </c>
      <c r="F22" s="172">
        <v>1039</v>
      </c>
      <c r="G22" s="172">
        <v>481</v>
      </c>
      <c r="H22" s="172">
        <v>229</v>
      </c>
      <c r="I22" s="172">
        <v>221</v>
      </c>
      <c r="J22" s="172">
        <v>333</v>
      </c>
      <c r="K22" s="172">
        <v>338</v>
      </c>
      <c r="L22" s="172">
        <v>314</v>
      </c>
      <c r="M22" s="172">
        <v>214</v>
      </c>
      <c r="N22" s="172">
        <f t="shared" si="0"/>
        <v>4794</v>
      </c>
    </row>
    <row r="23" spans="1:16" ht="15" customHeight="1">
      <c r="A23" s="139" t="s">
        <v>123</v>
      </c>
      <c r="B23" s="172">
        <v>72</v>
      </c>
      <c r="C23" s="172">
        <v>69</v>
      </c>
      <c r="D23" s="172">
        <v>60</v>
      </c>
      <c r="E23" s="172">
        <v>50</v>
      </c>
      <c r="F23" s="172">
        <v>24</v>
      </c>
      <c r="G23" s="172">
        <v>57</v>
      </c>
      <c r="H23" s="172">
        <v>40</v>
      </c>
      <c r="I23" s="172">
        <v>48</v>
      </c>
      <c r="J23" s="172">
        <v>90</v>
      </c>
      <c r="K23" s="172">
        <v>61</v>
      </c>
      <c r="L23" s="172">
        <v>78</v>
      </c>
      <c r="M23" s="172">
        <v>61</v>
      </c>
      <c r="N23" s="172">
        <f t="shared" si="0"/>
        <v>710</v>
      </c>
    </row>
    <row r="24" spans="1:16">
      <c r="A24" s="139" t="s">
        <v>23</v>
      </c>
      <c r="B24" s="172">
        <v>214</v>
      </c>
      <c r="C24" s="172">
        <v>194</v>
      </c>
      <c r="D24" s="172">
        <v>88</v>
      </c>
      <c r="E24" s="172">
        <v>50</v>
      </c>
      <c r="F24" s="172">
        <v>87</v>
      </c>
      <c r="G24" s="172">
        <v>53</v>
      </c>
      <c r="H24" s="172">
        <v>79</v>
      </c>
      <c r="I24" s="172">
        <v>105</v>
      </c>
      <c r="J24" s="172">
        <v>110</v>
      </c>
      <c r="K24" s="172">
        <v>133</v>
      </c>
      <c r="L24" s="172">
        <v>129</v>
      </c>
      <c r="M24" s="172">
        <v>212</v>
      </c>
      <c r="N24" s="172">
        <f t="shared" si="0"/>
        <v>1454</v>
      </c>
    </row>
    <row r="25" spans="1:16" ht="15.75" thickBot="1">
      <c r="A25" s="140" t="s">
        <v>45</v>
      </c>
      <c r="B25" s="290">
        <f t="shared" ref="B25:M25" si="1">SUM(B4:B24)</f>
        <v>9053</v>
      </c>
      <c r="C25" s="290">
        <f t="shared" si="1"/>
        <v>7170</v>
      </c>
      <c r="D25" s="290">
        <f>SUM(D4:D24)</f>
        <v>3951</v>
      </c>
      <c r="E25" s="290">
        <f t="shared" si="1"/>
        <v>1954</v>
      </c>
      <c r="F25" s="290">
        <f t="shared" si="1"/>
        <v>4868</v>
      </c>
      <c r="G25" s="290">
        <f t="shared" si="1"/>
        <v>3136</v>
      </c>
      <c r="H25" s="290">
        <f t="shared" si="1"/>
        <v>3017</v>
      </c>
      <c r="I25" s="290">
        <f t="shared" si="1"/>
        <v>2702</v>
      </c>
      <c r="J25" s="290">
        <f t="shared" si="1"/>
        <v>6627</v>
      </c>
      <c r="K25" s="290">
        <f t="shared" si="1"/>
        <v>3754</v>
      </c>
      <c r="L25" s="290">
        <f t="shared" si="1"/>
        <v>4739</v>
      </c>
      <c r="M25" s="290">
        <f t="shared" si="1"/>
        <v>3735</v>
      </c>
      <c r="N25" s="290">
        <f t="shared" si="0"/>
        <v>54706</v>
      </c>
      <c r="P25" s="22"/>
    </row>
    <row r="26" spans="1:16">
      <c r="A26" s="126"/>
      <c r="B26" s="226"/>
      <c r="C26" s="226"/>
      <c r="D26" s="226"/>
      <c r="E26" s="226"/>
      <c r="F26" s="226"/>
      <c r="G26" s="226"/>
      <c r="H26" s="226"/>
      <c r="I26" s="226"/>
      <c r="J26" s="226"/>
      <c r="K26" s="226"/>
      <c r="L26" s="226"/>
      <c r="M26" s="226"/>
      <c r="N26" s="226"/>
    </row>
    <row r="27" spans="1:16" ht="15.75" thickBot="1">
      <c r="A27" s="6" t="s">
        <v>8</v>
      </c>
      <c r="B27" s="226"/>
      <c r="C27" s="226"/>
      <c r="D27" s="226"/>
      <c r="E27" s="226"/>
      <c r="F27" s="226"/>
      <c r="G27" s="226"/>
      <c r="H27" s="226"/>
      <c r="I27" s="226"/>
      <c r="J27" s="226"/>
      <c r="K27" s="226"/>
      <c r="L27" s="226"/>
      <c r="M27" s="226"/>
      <c r="N27" s="226"/>
      <c r="P27" s="22"/>
    </row>
    <row r="28" spans="1:16">
      <c r="A28" s="138" t="s">
        <v>105</v>
      </c>
      <c r="B28" s="175">
        <v>0</v>
      </c>
      <c r="C28" s="175">
        <v>0</v>
      </c>
      <c r="D28" s="175">
        <v>0</v>
      </c>
      <c r="E28" s="175">
        <v>0</v>
      </c>
      <c r="F28" s="175">
        <v>0</v>
      </c>
      <c r="G28" s="175">
        <v>0</v>
      </c>
      <c r="H28" s="175">
        <v>0</v>
      </c>
      <c r="I28" s="175">
        <v>0</v>
      </c>
      <c r="J28" s="175">
        <v>0</v>
      </c>
      <c r="K28" s="175">
        <v>0</v>
      </c>
      <c r="L28" s="175">
        <v>0</v>
      </c>
      <c r="M28" s="175">
        <v>0</v>
      </c>
      <c r="N28" s="170">
        <f>SUM(B28:M28)</f>
        <v>0</v>
      </c>
    </row>
    <row r="29" spans="1:16">
      <c r="A29" s="139" t="s">
        <v>85</v>
      </c>
      <c r="B29" s="172">
        <v>17</v>
      </c>
      <c r="C29" s="172">
        <v>22</v>
      </c>
      <c r="D29" s="172">
        <v>4</v>
      </c>
      <c r="E29" s="172">
        <v>1</v>
      </c>
      <c r="F29" s="172">
        <v>0</v>
      </c>
      <c r="G29" s="172">
        <v>2</v>
      </c>
      <c r="H29" s="172">
        <v>12</v>
      </c>
      <c r="I29" s="172">
        <v>25</v>
      </c>
      <c r="J29" s="172">
        <v>7</v>
      </c>
      <c r="K29" s="172">
        <v>1</v>
      </c>
      <c r="L29" s="172">
        <v>1</v>
      </c>
      <c r="M29" s="172">
        <v>1</v>
      </c>
      <c r="N29" s="171">
        <f t="shared" ref="N29:N36" si="2">SUM(B29:M29)</f>
        <v>93</v>
      </c>
    </row>
    <row r="30" spans="1:16">
      <c r="A30" s="139" t="s">
        <v>106</v>
      </c>
      <c r="B30" s="172">
        <v>3</v>
      </c>
      <c r="C30" s="172">
        <v>4</v>
      </c>
      <c r="D30" s="172">
        <v>3</v>
      </c>
      <c r="E30" s="172">
        <v>0</v>
      </c>
      <c r="F30" s="172">
        <v>0</v>
      </c>
      <c r="G30" s="172">
        <v>0</v>
      </c>
      <c r="H30" s="172">
        <v>0</v>
      </c>
      <c r="I30" s="172">
        <v>0</v>
      </c>
      <c r="J30" s="172">
        <v>0</v>
      </c>
      <c r="K30" s="172">
        <v>0</v>
      </c>
      <c r="L30" s="172">
        <v>0</v>
      </c>
      <c r="M30" s="172">
        <v>1</v>
      </c>
      <c r="N30" s="171">
        <f t="shared" si="2"/>
        <v>11</v>
      </c>
    </row>
    <row r="31" spans="1:16">
      <c r="A31" s="139" t="s">
        <v>107</v>
      </c>
      <c r="B31" s="172">
        <v>80</v>
      </c>
      <c r="C31" s="172">
        <v>105</v>
      </c>
      <c r="D31" s="172">
        <v>78</v>
      </c>
      <c r="E31" s="172">
        <v>48</v>
      </c>
      <c r="F31" s="172">
        <v>43</v>
      </c>
      <c r="G31" s="172">
        <v>45</v>
      </c>
      <c r="H31" s="172">
        <v>42</v>
      </c>
      <c r="I31" s="172">
        <v>108</v>
      </c>
      <c r="J31" s="172">
        <v>53</v>
      </c>
      <c r="K31" s="172">
        <v>69</v>
      </c>
      <c r="L31" s="172">
        <v>47</v>
      </c>
      <c r="M31" s="172">
        <v>47</v>
      </c>
      <c r="N31" s="171">
        <f t="shared" si="2"/>
        <v>765</v>
      </c>
    </row>
    <row r="32" spans="1:16">
      <c r="A32" s="139" t="s">
        <v>108</v>
      </c>
      <c r="B32" s="172">
        <v>83</v>
      </c>
      <c r="C32" s="172">
        <v>112</v>
      </c>
      <c r="D32" s="172">
        <v>95</v>
      </c>
      <c r="E32" s="172">
        <v>35</v>
      </c>
      <c r="F32" s="172">
        <v>35</v>
      </c>
      <c r="G32" s="172">
        <v>31</v>
      </c>
      <c r="H32" s="172">
        <v>26</v>
      </c>
      <c r="I32" s="172">
        <v>36</v>
      </c>
      <c r="J32" s="172">
        <v>36</v>
      </c>
      <c r="K32" s="172">
        <v>38</v>
      </c>
      <c r="L32" s="172">
        <v>30</v>
      </c>
      <c r="M32" s="172">
        <v>30</v>
      </c>
      <c r="N32" s="171">
        <f t="shared" si="2"/>
        <v>587</v>
      </c>
    </row>
    <row r="33" spans="1:14">
      <c r="A33" s="139" t="s">
        <v>87</v>
      </c>
      <c r="B33" s="172">
        <v>21</v>
      </c>
      <c r="C33" s="172">
        <v>14</v>
      </c>
      <c r="D33" s="172">
        <v>12</v>
      </c>
      <c r="E33" s="172">
        <v>0</v>
      </c>
      <c r="F33" s="172">
        <v>0</v>
      </c>
      <c r="G33" s="172">
        <v>1</v>
      </c>
      <c r="H33" s="172">
        <v>1</v>
      </c>
      <c r="I33" s="172">
        <v>2</v>
      </c>
      <c r="J33" s="172">
        <v>2</v>
      </c>
      <c r="K33" s="172">
        <v>4</v>
      </c>
      <c r="L33" s="172">
        <v>3</v>
      </c>
      <c r="M33" s="172">
        <v>3</v>
      </c>
      <c r="N33" s="171">
        <f t="shared" si="2"/>
        <v>63</v>
      </c>
    </row>
    <row r="34" spans="1:14">
      <c r="A34" s="139" t="s">
        <v>88</v>
      </c>
      <c r="B34" s="172">
        <v>19</v>
      </c>
      <c r="C34" s="172">
        <v>29</v>
      </c>
      <c r="D34" s="172">
        <v>26</v>
      </c>
      <c r="E34" s="172">
        <v>11</v>
      </c>
      <c r="F34" s="172">
        <v>49</v>
      </c>
      <c r="G34" s="172">
        <v>0</v>
      </c>
      <c r="H34" s="172">
        <v>1</v>
      </c>
      <c r="I34" s="172">
        <v>0</v>
      </c>
      <c r="J34" s="172">
        <v>0</v>
      </c>
      <c r="K34" s="172">
        <v>0</v>
      </c>
      <c r="L34" s="172">
        <v>0</v>
      </c>
      <c r="M34" s="172">
        <v>0</v>
      </c>
      <c r="N34" s="171">
        <f t="shared" si="2"/>
        <v>135</v>
      </c>
    </row>
    <row r="35" spans="1:14" ht="15.75" thickBot="1">
      <c r="A35" s="139" t="s">
        <v>109</v>
      </c>
      <c r="B35" s="173">
        <v>2</v>
      </c>
      <c r="C35" s="173">
        <v>2</v>
      </c>
      <c r="D35" s="173">
        <v>2</v>
      </c>
      <c r="E35" s="173">
        <v>0</v>
      </c>
      <c r="F35" s="173">
        <v>0</v>
      </c>
      <c r="G35" s="173">
        <v>0</v>
      </c>
      <c r="H35" s="173">
        <v>0</v>
      </c>
      <c r="I35" s="173">
        <v>1</v>
      </c>
      <c r="J35" s="173">
        <v>0</v>
      </c>
      <c r="K35" s="173">
        <v>0</v>
      </c>
      <c r="L35" s="173">
        <v>0</v>
      </c>
      <c r="M35" s="173">
        <v>0</v>
      </c>
      <c r="N35" s="174">
        <f t="shared" si="2"/>
        <v>7</v>
      </c>
    </row>
    <row r="36" spans="1:14" ht="16.5" thickTop="1" thickBot="1">
      <c r="A36" s="137" t="s">
        <v>46</v>
      </c>
      <c r="B36" s="244">
        <f>SUM(B28:B35)</f>
        <v>225</v>
      </c>
      <c r="C36" s="244">
        <f t="shared" ref="C36:M36" si="3">SUM(C28:C35)</f>
        <v>288</v>
      </c>
      <c r="D36" s="244">
        <f t="shared" si="3"/>
        <v>220</v>
      </c>
      <c r="E36" s="244">
        <f t="shared" si="3"/>
        <v>95</v>
      </c>
      <c r="F36" s="244">
        <f t="shared" si="3"/>
        <v>127</v>
      </c>
      <c r="G36" s="244">
        <f t="shared" si="3"/>
        <v>79</v>
      </c>
      <c r="H36" s="244">
        <f t="shared" si="3"/>
        <v>82</v>
      </c>
      <c r="I36" s="244">
        <f t="shared" si="3"/>
        <v>172</v>
      </c>
      <c r="J36" s="244">
        <f t="shared" si="3"/>
        <v>98</v>
      </c>
      <c r="K36" s="244">
        <f t="shared" si="3"/>
        <v>112</v>
      </c>
      <c r="L36" s="244">
        <f t="shared" si="3"/>
        <v>81</v>
      </c>
      <c r="M36" s="244">
        <f t="shared" si="3"/>
        <v>82</v>
      </c>
      <c r="N36" s="245">
        <f t="shared" si="2"/>
        <v>1661</v>
      </c>
    </row>
    <row r="37" spans="1:14" ht="15.75" thickBot="1">
      <c r="A37" s="126"/>
      <c r="B37" s="226"/>
      <c r="C37" s="226"/>
      <c r="D37" s="226"/>
      <c r="E37" s="226"/>
      <c r="F37" s="226"/>
      <c r="G37" s="226"/>
      <c r="H37" s="226"/>
      <c r="I37" s="226"/>
      <c r="J37" s="226"/>
      <c r="K37" s="226"/>
      <c r="L37" s="226"/>
      <c r="M37" s="226"/>
      <c r="N37" s="226"/>
    </row>
    <row r="38" spans="1:14" ht="15.75" thickBot="1">
      <c r="A38" s="152" t="s">
        <v>20</v>
      </c>
      <c r="B38" s="266">
        <v>255</v>
      </c>
      <c r="C38" s="266"/>
      <c r="D38" s="266">
        <v>310</v>
      </c>
      <c r="E38" s="266"/>
      <c r="F38" s="266">
        <v>60</v>
      </c>
      <c r="G38" s="266"/>
      <c r="H38" s="266">
        <v>50</v>
      </c>
      <c r="I38" s="266"/>
      <c r="J38" s="266">
        <v>90</v>
      </c>
      <c r="K38" s="266"/>
      <c r="L38" s="266">
        <f>75+0.3+0.3+0.4</f>
        <v>76</v>
      </c>
      <c r="M38" s="266"/>
      <c r="N38" s="267">
        <f>SUM(B38:M38)</f>
        <v>841</v>
      </c>
    </row>
    <row r="39" spans="1:14" ht="15.75" thickBot="1">
      <c r="A39" s="269"/>
      <c r="B39" s="268"/>
      <c r="C39" s="268"/>
      <c r="D39" s="268"/>
      <c r="E39" s="268"/>
      <c r="F39" s="268"/>
      <c r="G39" s="268"/>
      <c r="H39" s="268"/>
      <c r="I39" s="268"/>
      <c r="J39" s="268"/>
      <c r="K39" s="268"/>
      <c r="L39" s="268"/>
      <c r="M39" s="268"/>
      <c r="N39" s="268"/>
    </row>
    <row r="40" spans="1:14" ht="15.75" thickBot="1">
      <c r="A40" s="151" t="s">
        <v>67</v>
      </c>
      <c r="B40" s="246">
        <f t="shared" ref="B40:N40" si="4">B25+B36+B38</f>
        <v>9533</v>
      </c>
      <c r="C40" s="246">
        <f t="shared" si="4"/>
        <v>7458</v>
      </c>
      <c r="D40" s="246">
        <f t="shared" si="4"/>
        <v>4481</v>
      </c>
      <c r="E40" s="246">
        <f t="shared" si="4"/>
        <v>2049</v>
      </c>
      <c r="F40" s="246">
        <f t="shared" si="4"/>
        <v>5055</v>
      </c>
      <c r="G40" s="246">
        <f t="shared" si="4"/>
        <v>3215</v>
      </c>
      <c r="H40" s="246">
        <f t="shared" si="4"/>
        <v>3149</v>
      </c>
      <c r="I40" s="246">
        <f t="shared" si="4"/>
        <v>2874</v>
      </c>
      <c r="J40" s="246">
        <f t="shared" si="4"/>
        <v>6815</v>
      </c>
      <c r="K40" s="246">
        <f t="shared" si="4"/>
        <v>3866</v>
      </c>
      <c r="L40" s="246">
        <f t="shared" si="4"/>
        <v>4896</v>
      </c>
      <c r="M40" s="246">
        <f t="shared" si="4"/>
        <v>3817</v>
      </c>
      <c r="N40" s="247">
        <f t="shared" si="4"/>
        <v>57208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O41"/>
  <sheetViews>
    <sheetView topLeftCell="A22" workbookViewId="0">
      <selection activeCell="G36" sqref="G36"/>
    </sheetView>
  </sheetViews>
  <sheetFormatPr defaultColWidth="8.85546875" defaultRowHeight="15"/>
  <cols>
    <col min="1" max="1" width="27.7109375" style="74" customWidth="1"/>
    <col min="2" max="13" width="9.28515625" style="17" bestFit="1" customWidth="1"/>
    <col min="14" max="14" width="10.140625" style="17" bestFit="1" customWidth="1"/>
    <col min="15" max="16384" width="8.85546875" style="17"/>
  </cols>
  <sheetData>
    <row r="1" spans="1:14" ht="17.25" thickBot="1">
      <c r="A1" s="152" t="s">
        <v>0</v>
      </c>
      <c r="B1" s="153">
        <v>44197</v>
      </c>
      <c r="C1" s="153">
        <v>44228</v>
      </c>
      <c r="D1" s="153">
        <v>44256</v>
      </c>
      <c r="E1" s="153">
        <v>44287</v>
      </c>
      <c r="F1" s="153">
        <v>44317</v>
      </c>
      <c r="G1" s="153">
        <v>44348</v>
      </c>
      <c r="H1" s="153">
        <v>44378</v>
      </c>
      <c r="I1" s="153">
        <v>44409</v>
      </c>
      <c r="J1" s="153">
        <v>44440</v>
      </c>
      <c r="K1" s="153">
        <v>44470</v>
      </c>
      <c r="L1" s="153">
        <v>44501</v>
      </c>
      <c r="M1" s="153">
        <v>44531</v>
      </c>
      <c r="N1" s="154" t="s">
        <v>131</v>
      </c>
    </row>
    <row r="2" spans="1:14">
      <c r="A2" s="126"/>
      <c r="B2" s="127"/>
      <c r="C2" s="127"/>
      <c r="D2" s="127"/>
      <c r="E2" s="127"/>
      <c r="F2" s="127"/>
      <c r="G2" s="127"/>
      <c r="H2" s="127"/>
      <c r="I2" s="127"/>
      <c r="J2" s="127"/>
      <c r="K2" s="127"/>
      <c r="L2" s="127"/>
      <c r="M2" s="127"/>
      <c r="N2" s="128"/>
    </row>
    <row r="3" spans="1:14">
      <c r="A3" s="6" t="s">
        <v>51</v>
      </c>
      <c r="B3" s="127"/>
      <c r="C3" s="127"/>
      <c r="D3" s="127"/>
      <c r="E3" s="127"/>
      <c r="F3" s="127"/>
      <c r="G3" s="127"/>
      <c r="H3" s="127"/>
      <c r="I3" s="127"/>
      <c r="J3" s="127"/>
      <c r="K3" s="127"/>
      <c r="L3" s="127"/>
      <c r="M3" s="127"/>
      <c r="N3" s="128"/>
    </row>
    <row r="4" spans="1:14">
      <c r="A4" s="139" t="s">
        <v>25</v>
      </c>
      <c r="B4" s="172">
        <v>126</v>
      </c>
      <c r="C4" s="172">
        <v>42</v>
      </c>
      <c r="D4" s="172">
        <v>135</v>
      </c>
      <c r="E4" s="172">
        <v>68</v>
      </c>
      <c r="F4" s="172">
        <v>29</v>
      </c>
      <c r="G4" s="172">
        <v>41</v>
      </c>
      <c r="H4" s="172">
        <v>43</v>
      </c>
      <c r="I4" s="172">
        <v>79</v>
      </c>
      <c r="J4" s="374">
        <v>237</v>
      </c>
      <c r="K4" s="172">
        <v>141</v>
      </c>
      <c r="L4" s="172">
        <v>213</v>
      </c>
      <c r="M4" s="172">
        <v>153</v>
      </c>
      <c r="N4" s="172">
        <f t="shared" ref="N4:N25" si="0">SUM(B4:M4)</f>
        <v>1307</v>
      </c>
    </row>
    <row r="5" spans="1:14">
      <c r="A5" s="139" t="s">
        <v>24</v>
      </c>
      <c r="B5" s="172">
        <v>255</v>
      </c>
      <c r="C5" s="172">
        <v>609</v>
      </c>
      <c r="D5" s="172">
        <v>211</v>
      </c>
      <c r="E5" s="172">
        <v>156</v>
      </c>
      <c r="F5" s="172">
        <v>113</v>
      </c>
      <c r="G5" s="172">
        <v>99</v>
      </c>
      <c r="H5" s="172">
        <v>176</v>
      </c>
      <c r="I5" s="172">
        <v>377</v>
      </c>
      <c r="J5" s="374">
        <v>916</v>
      </c>
      <c r="K5" s="172">
        <v>234</v>
      </c>
      <c r="L5" s="172">
        <v>180</v>
      </c>
      <c r="M5" s="172">
        <v>125</v>
      </c>
      <c r="N5" s="172">
        <f t="shared" si="0"/>
        <v>3451</v>
      </c>
    </row>
    <row r="6" spans="1:14">
      <c r="A6" s="139" t="s">
        <v>27</v>
      </c>
      <c r="B6" s="172">
        <v>40</v>
      </c>
      <c r="C6" s="172">
        <v>90</v>
      </c>
      <c r="D6" s="172">
        <v>66</v>
      </c>
      <c r="E6" s="172">
        <v>54</v>
      </c>
      <c r="F6" s="172">
        <v>76</v>
      </c>
      <c r="G6" s="172">
        <v>73</v>
      </c>
      <c r="H6" s="172">
        <v>70</v>
      </c>
      <c r="I6" s="172">
        <v>60</v>
      </c>
      <c r="J6" s="374">
        <v>76</v>
      </c>
      <c r="K6" s="172">
        <v>55</v>
      </c>
      <c r="L6" s="172">
        <v>61</v>
      </c>
      <c r="M6" s="172">
        <v>41</v>
      </c>
      <c r="N6" s="172">
        <f t="shared" si="0"/>
        <v>762</v>
      </c>
    </row>
    <row r="7" spans="1:14">
      <c r="A7" s="139" t="s">
        <v>115</v>
      </c>
      <c r="B7" s="172">
        <v>860</v>
      </c>
      <c r="C7" s="172">
        <v>956</v>
      </c>
      <c r="D7" s="172">
        <v>858</v>
      </c>
      <c r="E7" s="172">
        <v>796</v>
      </c>
      <c r="F7" s="172">
        <v>738</v>
      </c>
      <c r="G7" s="172">
        <v>1141</v>
      </c>
      <c r="H7" s="172">
        <v>1069</v>
      </c>
      <c r="I7" s="172">
        <v>1171</v>
      </c>
      <c r="J7" s="374">
        <v>1093</v>
      </c>
      <c r="K7" s="172">
        <v>675</v>
      </c>
      <c r="L7" s="172">
        <v>259</v>
      </c>
      <c r="M7" s="172">
        <v>882</v>
      </c>
      <c r="N7" s="172">
        <f t="shared" si="0"/>
        <v>10498</v>
      </c>
    </row>
    <row r="8" spans="1:14">
      <c r="A8" s="139" t="s">
        <v>116</v>
      </c>
      <c r="B8" s="172">
        <v>525</v>
      </c>
      <c r="C8" s="172">
        <v>191</v>
      </c>
      <c r="D8" s="172">
        <v>330</v>
      </c>
      <c r="E8" s="172">
        <v>228</v>
      </c>
      <c r="F8" s="172">
        <v>40</v>
      </c>
      <c r="G8" s="172">
        <v>49</v>
      </c>
      <c r="H8" s="172">
        <v>32</v>
      </c>
      <c r="I8" s="172">
        <v>7</v>
      </c>
      <c r="J8" s="374">
        <v>0</v>
      </c>
      <c r="K8" s="172">
        <v>485</v>
      </c>
      <c r="L8" s="172">
        <v>350</v>
      </c>
      <c r="M8" s="172">
        <v>245</v>
      </c>
      <c r="N8" s="172">
        <f t="shared" si="0"/>
        <v>2482</v>
      </c>
    </row>
    <row r="9" spans="1:14">
      <c r="A9" s="139" t="s">
        <v>28</v>
      </c>
      <c r="B9" s="172">
        <v>0</v>
      </c>
      <c r="C9" s="172">
        <v>240</v>
      </c>
      <c r="D9" s="172">
        <v>158</v>
      </c>
      <c r="E9" s="172">
        <v>314</v>
      </c>
      <c r="F9" s="172">
        <v>0</v>
      </c>
      <c r="G9" s="172">
        <v>25</v>
      </c>
      <c r="H9" s="172">
        <v>127</v>
      </c>
      <c r="I9" s="172">
        <v>135</v>
      </c>
      <c r="J9" s="374">
        <v>235</v>
      </c>
      <c r="K9" s="172">
        <v>183</v>
      </c>
      <c r="L9" s="172">
        <v>251</v>
      </c>
      <c r="M9" s="172">
        <v>177</v>
      </c>
      <c r="N9" s="172">
        <f t="shared" si="0"/>
        <v>1845</v>
      </c>
    </row>
    <row r="10" spans="1:14">
      <c r="A10" s="139" t="s">
        <v>81</v>
      </c>
      <c r="B10" s="172">
        <v>645</v>
      </c>
      <c r="C10" s="172">
        <f>1298+61</f>
        <v>1359</v>
      </c>
      <c r="D10" s="172">
        <f>794+18</f>
        <v>812</v>
      </c>
      <c r="E10" s="172">
        <v>476</v>
      </c>
      <c r="F10" s="172">
        <f>391+12</f>
        <v>403</v>
      </c>
      <c r="G10" s="172">
        <f>612+15</f>
        <v>627</v>
      </c>
      <c r="H10" s="172">
        <f>428+4</f>
        <v>432</v>
      </c>
      <c r="I10" s="172">
        <f>1921+131</f>
        <v>2052</v>
      </c>
      <c r="J10" s="374">
        <f>1337+183</f>
        <v>1520</v>
      </c>
      <c r="K10" s="172">
        <f>794+83</f>
        <v>877</v>
      </c>
      <c r="L10" s="172">
        <f>1227+110</f>
        <v>1337</v>
      </c>
      <c r="M10" s="172">
        <f>639+29</f>
        <v>668</v>
      </c>
      <c r="N10" s="172">
        <f t="shared" si="0"/>
        <v>11208</v>
      </c>
    </row>
    <row r="11" spans="1:14">
      <c r="A11" s="139" t="s">
        <v>117</v>
      </c>
      <c r="B11" s="172">
        <v>389</v>
      </c>
      <c r="C11" s="172">
        <v>102</v>
      </c>
      <c r="D11" s="172">
        <v>59</v>
      </c>
      <c r="E11" s="172">
        <v>43</v>
      </c>
      <c r="F11" s="172">
        <v>0</v>
      </c>
      <c r="G11" s="373">
        <v>0</v>
      </c>
      <c r="H11" s="172">
        <v>0</v>
      </c>
      <c r="I11" s="172">
        <v>0</v>
      </c>
      <c r="J11" s="374">
        <v>0</v>
      </c>
      <c r="K11" s="172">
        <v>550</v>
      </c>
      <c r="L11" s="172">
        <v>295</v>
      </c>
      <c r="M11" s="172">
        <v>200</v>
      </c>
      <c r="N11" s="172">
        <f t="shared" si="0"/>
        <v>1638</v>
      </c>
    </row>
    <row r="12" spans="1:14">
      <c r="A12" s="139" t="s">
        <v>33</v>
      </c>
      <c r="B12" s="172">
        <v>0</v>
      </c>
      <c r="C12" s="172">
        <v>0</v>
      </c>
      <c r="D12" s="172">
        <v>0</v>
      </c>
      <c r="E12" s="172">
        <v>0</v>
      </c>
      <c r="F12" s="172">
        <v>0</v>
      </c>
      <c r="G12" s="172">
        <v>0</v>
      </c>
      <c r="H12" s="172">
        <v>0</v>
      </c>
      <c r="I12" s="172">
        <v>0</v>
      </c>
      <c r="J12" s="374">
        <v>0</v>
      </c>
      <c r="K12" s="172">
        <v>0</v>
      </c>
      <c r="L12" s="172">
        <v>0</v>
      </c>
      <c r="M12" s="172">
        <v>0</v>
      </c>
      <c r="N12" s="172">
        <f t="shared" si="0"/>
        <v>0</v>
      </c>
    </row>
    <row r="13" spans="1:14">
      <c r="A13" s="139" t="s">
        <v>118</v>
      </c>
      <c r="B13" s="172">
        <v>1</v>
      </c>
      <c r="C13" s="172">
        <v>0</v>
      </c>
      <c r="D13" s="172">
        <v>1</v>
      </c>
      <c r="E13" s="172">
        <v>0</v>
      </c>
      <c r="F13" s="172">
        <v>0</v>
      </c>
      <c r="G13" s="172">
        <v>0</v>
      </c>
      <c r="H13" s="172">
        <v>15</v>
      </c>
      <c r="I13" s="172">
        <v>1</v>
      </c>
      <c r="J13" s="374">
        <v>1</v>
      </c>
      <c r="K13" s="172">
        <v>2</v>
      </c>
      <c r="L13" s="172">
        <v>2</v>
      </c>
      <c r="M13" s="172">
        <v>1</v>
      </c>
      <c r="N13" s="172">
        <f t="shared" si="0"/>
        <v>24</v>
      </c>
    </row>
    <row r="14" spans="1:14">
      <c r="A14" s="139" t="s">
        <v>76</v>
      </c>
      <c r="B14" s="172">
        <v>236</v>
      </c>
      <c r="C14" s="172">
        <v>0</v>
      </c>
      <c r="D14" s="172">
        <v>317</v>
      </c>
      <c r="E14" s="172">
        <v>275</v>
      </c>
      <c r="F14" s="172">
        <v>73</v>
      </c>
      <c r="G14" s="172">
        <v>101</v>
      </c>
      <c r="H14" s="172">
        <v>114</v>
      </c>
      <c r="I14" s="172">
        <v>125</v>
      </c>
      <c r="J14" s="172">
        <v>209</v>
      </c>
      <c r="K14" s="172">
        <v>124</v>
      </c>
      <c r="L14" s="172">
        <v>205</v>
      </c>
      <c r="M14" s="172">
        <v>160</v>
      </c>
      <c r="N14" s="172">
        <f t="shared" si="0"/>
        <v>1939</v>
      </c>
    </row>
    <row r="15" spans="1:14">
      <c r="A15" s="139" t="s">
        <v>29</v>
      </c>
      <c r="B15" s="172">
        <v>0</v>
      </c>
      <c r="C15" s="172">
        <v>0</v>
      </c>
      <c r="D15" s="172">
        <v>0</v>
      </c>
      <c r="E15" s="172">
        <v>0</v>
      </c>
      <c r="F15" s="172">
        <v>0</v>
      </c>
      <c r="G15" s="172">
        <v>0</v>
      </c>
      <c r="H15" s="172">
        <v>0</v>
      </c>
      <c r="I15" s="172">
        <v>0</v>
      </c>
      <c r="J15" s="172">
        <v>0</v>
      </c>
      <c r="K15" s="172">
        <v>0</v>
      </c>
      <c r="L15" s="172">
        <v>0</v>
      </c>
      <c r="M15" s="172">
        <v>0</v>
      </c>
      <c r="N15" s="172">
        <f t="shared" si="0"/>
        <v>0</v>
      </c>
    </row>
    <row r="16" spans="1:14">
      <c r="A16" s="139" t="s">
        <v>119</v>
      </c>
      <c r="B16" s="172">
        <v>21</v>
      </c>
      <c r="C16" s="172">
        <v>48</v>
      </c>
      <c r="D16" s="172">
        <v>86</v>
      </c>
      <c r="E16" s="172">
        <v>1</v>
      </c>
      <c r="F16" s="314">
        <v>104</v>
      </c>
      <c r="G16" s="314">
        <v>0</v>
      </c>
      <c r="H16" s="314">
        <v>0</v>
      </c>
      <c r="I16" s="314">
        <v>1</v>
      </c>
      <c r="J16" s="172">
        <v>0</v>
      </c>
      <c r="K16" s="172">
        <v>0</v>
      </c>
      <c r="L16" s="172">
        <v>1</v>
      </c>
      <c r="M16" s="172">
        <v>0</v>
      </c>
      <c r="N16" s="172">
        <f t="shared" si="0"/>
        <v>262</v>
      </c>
    </row>
    <row r="17" spans="1:15">
      <c r="A17" s="139" t="s">
        <v>2</v>
      </c>
      <c r="B17" s="172">
        <v>26</v>
      </c>
      <c r="C17" s="172">
        <v>29</v>
      </c>
      <c r="D17" s="172">
        <v>28</v>
      </c>
      <c r="E17" s="172">
        <v>26</v>
      </c>
      <c r="F17" s="172">
        <v>24</v>
      </c>
      <c r="G17" s="172">
        <v>25</v>
      </c>
      <c r="H17" s="172">
        <v>121</v>
      </c>
      <c r="I17" s="172">
        <v>112</v>
      </c>
      <c r="J17" s="172">
        <v>126</v>
      </c>
      <c r="K17" s="172">
        <v>51</v>
      </c>
      <c r="L17" s="172">
        <v>68</v>
      </c>
      <c r="M17" s="172">
        <v>53</v>
      </c>
      <c r="N17" s="172">
        <f t="shared" si="0"/>
        <v>689</v>
      </c>
    </row>
    <row r="18" spans="1:15">
      <c r="A18" s="139" t="s">
        <v>30</v>
      </c>
      <c r="B18" s="172">
        <v>438</v>
      </c>
      <c r="C18" s="172">
        <v>47</v>
      </c>
      <c r="D18" s="172">
        <v>133</v>
      </c>
      <c r="E18" s="172">
        <v>250</v>
      </c>
      <c r="F18" s="172">
        <v>0</v>
      </c>
      <c r="G18" s="172">
        <v>476</v>
      </c>
      <c r="H18" s="172">
        <v>450</v>
      </c>
      <c r="I18" s="172">
        <v>506</v>
      </c>
      <c r="J18" s="172">
        <v>553</v>
      </c>
      <c r="K18" s="172">
        <v>192</v>
      </c>
      <c r="L18" s="172">
        <v>259</v>
      </c>
      <c r="M18" s="172">
        <v>95</v>
      </c>
      <c r="N18" s="172">
        <f t="shared" si="0"/>
        <v>3399</v>
      </c>
    </row>
    <row r="19" spans="1:15">
      <c r="A19" s="139" t="s">
        <v>120</v>
      </c>
      <c r="B19" s="172">
        <v>120</v>
      </c>
      <c r="C19" s="172">
        <v>0</v>
      </c>
      <c r="D19" s="172">
        <v>0</v>
      </c>
      <c r="E19" s="172">
        <v>99</v>
      </c>
      <c r="F19" s="172">
        <v>0</v>
      </c>
      <c r="G19" s="172">
        <v>0</v>
      </c>
      <c r="H19" s="172">
        <v>0</v>
      </c>
      <c r="I19" s="172">
        <v>210</v>
      </c>
      <c r="J19" s="172">
        <v>205</v>
      </c>
      <c r="K19" s="172">
        <v>700</v>
      </c>
      <c r="L19" s="172">
        <v>850</v>
      </c>
      <c r="M19" s="172">
        <v>495</v>
      </c>
      <c r="N19" s="172">
        <f t="shared" si="0"/>
        <v>2679</v>
      </c>
      <c r="O19" s="17" t="s">
        <v>155</v>
      </c>
    </row>
    <row r="20" spans="1:15" ht="30">
      <c r="A20" s="139" t="s">
        <v>122</v>
      </c>
      <c r="B20" s="172">
        <v>50</v>
      </c>
      <c r="C20" s="172">
        <v>0</v>
      </c>
      <c r="D20" s="172">
        <v>0</v>
      </c>
      <c r="E20" s="172">
        <v>28</v>
      </c>
      <c r="F20" s="172">
        <v>0</v>
      </c>
      <c r="G20" s="172">
        <v>23</v>
      </c>
      <c r="H20" s="172">
        <v>78</v>
      </c>
      <c r="I20" s="172">
        <v>165</v>
      </c>
      <c r="J20" s="172">
        <v>205</v>
      </c>
      <c r="K20" s="172">
        <v>700</v>
      </c>
      <c r="L20" s="172">
        <v>816</v>
      </c>
      <c r="M20" s="172">
        <v>378</v>
      </c>
      <c r="N20" s="172">
        <f t="shared" si="0"/>
        <v>2443</v>
      </c>
    </row>
    <row r="21" spans="1:15" ht="30">
      <c r="A21" s="139" t="s">
        <v>121</v>
      </c>
      <c r="B21" s="172">
        <v>150</v>
      </c>
      <c r="C21" s="172">
        <v>246</v>
      </c>
      <c r="D21" s="172">
        <v>400</v>
      </c>
      <c r="E21" s="172">
        <v>346</v>
      </c>
      <c r="F21" s="172">
        <v>100</v>
      </c>
      <c r="G21" s="172">
        <v>0</v>
      </c>
      <c r="H21" s="172">
        <v>0</v>
      </c>
      <c r="I21" s="172">
        <v>380</v>
      </c>
      <c r="J21" s="172">
        <v>782</v>
      </c>
      <c r="K21" s="172">
        <v>210</v>
      </c>
      <c r="L21" s="172">
        <v>350</v>
      </c>
      <c r="M21" s="172">
        <v>311</v>
      </c>
      <c r="N21" s="172">
        <f t="shared" si="0"/>
        <v>3275</v>
      </c>
    </row>
    <row r="22" spans="1:15">
      <c r="A22" s="139" t="s">
        <v>31</v>
      </c>
      <c r="B22" s="172">
        <v>207</v>
      </c>
      <c r="C22" s="172">
        <v>215</v>
      </c>
      <c r="D22" s="172">
        <v>371</v>
      </c>
      <c r="E22" s="172">
        <v>326</v>
      </c>
      <c r="F22" s="172">
        <v>0</v>
      </c>
      <c r="G22" s="172">
        <v>544</v>
      </c>
      <c r="H22" s="172">
        <v>112</v>
      </c>
      <c r="I22" s="172">
        <v>242</v>
      </c>
      <c r="J22" s="172">
        <v>1057</v>
      </c>
      <c r="K22" s="172">
        <v>594</v>
      </c>
      <c r="L22" s="172">
        <v>949</v>
      </c>
      <c r="M22" s="172">
        <v>474</v>
      </c>
      <c r="N22" s="172">
        <f t="shared" si="0"/>
        <v>5091</v>
      </c>
    </row>
    <row r="23" spans="1:15" ht="15" customHeight="1">
      <c r="A23" s="139" t="s">
        <v>123</v>
      </c>
      <c r="B23" s="172">
        <v>68</v>
      </c>
      <c r="C23" s="172">
        <v>37</v>
      </c>
      <c r="D23" s="172">
        <v>49</v>
      </c>
      <c r="E23" s="172">
        <v>39</v>
      </c>
      <c r="F23" s="172">
        <v>89</v>
      </c>
      <c r="G23" s="172">
        <v>91</v>
      </c>
      <c r="H23" s="172">
        <v>104</v>
      </c>
      <c r="I23" s="172">
        <v>122</v>
      </c>
      <c r="J23" s="172">
        <v>104</v>
      </c>
      <c r="K23" s="172">
        <v>71</v>
      </c>
      <c r="L23" s="172">
        <v>86</v>
      </c>
      <c r="M23" s="172">
        <v>49</v>
      </c>
      <c r="N23" s="172">
        <f t="shared" si="0"/>
        <v>909</v>
      </c>
    </row>
    <row r="24" spans="1:15">
      <c r="A24" s="139" t="s">
        <v>23</v>
      </c>
      <c r="B24" s="172">
        <v>100</v>
      </c>
      <c r="C24" s="172">
        <v>133</v>
      </c>
      <c r="D24" s="172">
        <v>146</v>
      </c>
      <c r="E24" s="172">
        <v>126</v>
      </c>
      <c r="F24" s="172">
        <v>384</v>
      </c>
      <c r="G24" s="172">
        <v>238</v>
      </c>
      <c r="H24" s="172">
        <v>248</v>
      </c>
      <c r="I24" s="172">
        <v>203</v>
      </c>
      <c r="J24" s="172">
        <v>106</v>
      </c>
      <c r="K24" s="172">
        <v>126</v>
      </c>
      <c r="L24" s="172">
        <v>161</v>
      </c>
      <c r="M24" s="172">
        <v>108</v>
      </c>
      <c r="N24" s="172">
        <f t="shared" si="0"/>
        <v>2079</v>
      </c>
    </row>
    <row r="25" spans="1:15" ht="15.75" thickBot="1">
      <c r="A25" s="140" t="s">
        <v>45</v>
      </c>
      <c r="B25" s="290">
        <f t="shared" ref="B25:M25" si="1">SUM(B4:B24)</f>
        <v>4257</v>
      </c>
      <c r="C25" s="290">
        <f t="shared" si="1"/>
        <v>4344</v>
      </c>
      <c r="D25" s="290">
        <f>SUM(D4:D24)</f>
        <v>4160</v>
      </c>
      <c r="E25" s="290">
        <f t="shared" si="1"/>
        <v>3651</v>
      </c>
      <c r="F25" s="290">
        <f t="shared" si="1"/>
        <v>2173</v>
      </c>
      <c r="G25" s="290">
        <f t="shared" si="1"/>
        <v>3553</v>
      </c>
      <c r="H25" s="290">
        <f t="shared" si="1"/>
        <v>3191</v>
      </c>
      <c r="I25" s="290">
        <f t="shared" si="1"/>
        <v>5948</v>
      </c>
      <c r="J25" s="290">
        <f t="shared" si="1"/>
        <v>7425</v>
      </c>
      <c r="K25" s="290">
        <f>SUM(K4:K24)</f>
        <v>5970</v>
      </c>
      <c r="L25" s="290">
        <f t="shared" si="1"/>
        <v>6693</v>
      </c>
      <c r="M25" s="290">
        <f t="shared" si="1"/>
        <v>4615</v>
      </c>
      <c r="N25" s="290">
        <f t="shared" si="0"/>
        <v>55980</v>
      </c>
    </row>
    <row r="26" spans="1:15">
      <c r="A26" s="126"/>
      <c r="B26" s="226"/>
      <c r="C26" s="226"/>
      <c r="D26" s="226"/>
      <c r="E26" s="226"/>
      <c r="F26" s="226"/>
      <c r="G26" s="226"/>
      <c r="H26" s="226"/>
      <c r="I26" s="226"/>
      <c r="J26" s="226"/>
      <c r="K26" s="226"/>
      <c r="L26" s="226"/>
      <c r="M26" s="226"/>
      <c r="N26" s="226"/>
    </row>
    <row r="27" spans="1:15" ht="15.75" thickBot="1">
      <c r="A27" s="6" t="s">
        <v>8</v>
      </c>
      <c r="B27" s="226"/>
      <c r="C27" s="226"/>
      <c r="D27" s="226"/>
      <c r="E27" s="226"/>
      <c r="F27" s="226"/>
      <c r="G27" s="226"/>
      <c r="H27" s="226"/>
      <c r="I27" s="226"/>
      <c r="J27" s="226"/>
      <c r="K27" s="226"/>
      <c r="L27" s="226"/>
      <c r="M27" s="226"/>
      <c r="N27" s="226"/>
    </row>
    <row r="28" spans="1:15">
      <c r="A28" s="138" t="s">
        <v>105</v>
      </c>
      <c r="B28" s="175">
        <v>0</v>
      </c>
      <c r="C28" s="175">
        <v>0</v>
      </c>
      <c r="D28" s="175">
        <v>0</v>
      </c>
      <c r="E28" s="175">
        <v>0</v>
      </c>
      <c r="F28" s="175">
        <v>1</v>
      </c>
      <c r="G28" s="175">
        <v>0</v>
      </c>
      <c r="H28" s="175">
        <v>0</v>
      </c>
      <c r="I28" s="175">
        <v>0</v>
      </c>
      <c r="J28" s="175">
        <v>0</v>
      </c>
      <c r="K28" s="175">
        <v>0</v>
      </c>
      <c r="L28" s="175">
        <v>0</v>
      </c>
      <c r="M28" s="175">
        <v>0</v>
      </c>
      <c r="N28" s="170">
        <f>SUM(B28:M28)</f>
        <v>1</v>
      </c>
    </row>
    <row r="29" spans="1:15">
      <c r="A29" s="139" t="s">
        <v>85</v>
      </c>
      <c r="B29" s="172">
        <v>42</v>
      </c>
      <c r="C29" s="172">
        <v>0</v>
      </c>
      <c r="D29" s="172">
        <v>0</v>
      </c>
      <c r="E29" s="172">
        <v>1</v>
      </c>
      <c r="F29" s="172">
        <v>2</v>
      </c>
      <c r="G29" s="172">
        <v>1</v>
      </c>
      <c r="H29" s="172">
        <v>1</v>
      </c>
      <c r="I29" s="172">
        <v>29</v>
      </c>
      <c r="J29" s="172">
        <v>4</v>
      </c>
      <c r="K29" s="172">
        <v>6</v>
      </c>
      <c r="L29" s="172">
        <v>3</v>
      </c>
      <c r="M29" s="172">
        <v>3</v>
      </c>
      <c r="N29" s="171">
        <f t="shared" ref="N29:N37" si="2">SUM(B29:M29)</f>
        <v>92</v>
      </c>
    </row>
    <row r="30" spans="1:15">
      <c r="A30" s="139" t="s">
        <v>106</v>
      </c>
      <c r="B30" s="172">
        <v>0</v>
      </c>
      <c r="C30" s="172">
        <v>0</v>
      </c>
      <c r="D30" s="172">
        <v>0</v>
      </c>
      <c r="E30" s="172">
        <v>1</v>
      </c>
      <c r="F30" s="172">
        <v>0</v>
      </c>
      <c r="G30" s="172">
        <v>0</v>
      </c>
      <c r="H30" s="172">
        <v>2</v>
      </c>
      <c r="I30" s="172">
        <v>3</v>
      </c>
      <c r="J30" s="172"/>
      <c r="K30" s="172">
        <v>4</v>
      </c>
      <c r="L30" s="172">
        <v>4</v>
      </c>
      <c r="M30" s="172">
        <v>3</v>
      </c>
      <c r="N30" s="171">
        <f t="shared" si="2"/>
        <v>17</v>
      </c>
    </row>
    <row r="31" spans="1:15">
      <c r="A31" s="139" t="s">
        <v>107</v>
      </c>
      <c r="B31" s="172">
        <v>60</v>
      </c>
      <c r="C31" s="172">
        <v>153</v>
      </c>
      <c r="D31" s="172">
        <v>83</v>
      </c>
      <c r="E31" s="172">
        <v>94</v>
      </c>
      <c r="F31" s="172">
        <v>24</v>
      </c>
      <c r="G31" s="172">
        <v>162</v>
      </c>
      <c r="H31" s="172">
        <v>271</v>
      </c>
      <c r="I31" s="172">
        <v>133</v>
      </c>
      <c r="J31" s="172">
        <v>139</v>
      </c>
      <c r="K31" s="172">
        <v>127</v>
      </c>
      <c r="L31" s="172">
        <v>111</v>
      </c>
      <c r="M31" s="172">
        <v>124</v>
      </c>
      <c r="N31" s="171">
        <f t="shared" si="2"/>
        <v>1481</v>
      </c>
    </row>
    <row r="32" spans="1:15">
      <c r="A32" s="139" t="s">
        <v>108</v>
      </c>
      <c r="B32" s="172">
        <v>37</v>
      </c>
      <c r="C32" s="172">
        <v>134</v>
      </c>
      <c r="D32" s="172">
        <v>154</v>
      </c>
      <c r="E32" s="172">
        <v>171</v>
      </c>
      <c r="F32" s="172">
        <v>63</v>
      </c>
      <c r="G32" s="172">
        <v>55</v>
      </c>
      <c r="H32" s="172">
        <v>46</v>
      </c>
      <c r="I32" s="172">
        <v>54</v>
      </c>
      <c r="J32" s="172">
        <v>80</v>
      </c>
      <c r="K32" s="172">
        <v>96</v>
      </c>
      <c r="L32" s="172">
        <v>94</v>
      </c>
      <c r="M32" s="172">
        <v>95</v>
      </c>
      <c r="N32" s="171">
        <f t="shared" si="2"/>
        <v>1079</v>
      </c>
    </row>
    <row r="33" spans="1:14">
      <c r="A33" s="139" t="s">
        <v>87</v>
      </c>
      <c r="B33" s="172">
        <v>1</v>
      </c>
      <c r="C33" s="172">
        <v>4</v>
      </c>
      <c r="D33" s="172">
        <v>3</v>
      </c>
      <c r="E33" s="172">
        <v>3</v>
      </c>
      <c r="F33" s="172">
        <v>5</v>
      </c>
      <c r="G33" s="172">
        <v>9</v>
      </c>
      <c r="H33" s="172">
        <v>3</v>
      </c>
      <c r="I33" s="172">
        <v>4</v>
      </c>
      <c r="J33" s="172">
        <v>7</v>
      </c>
      <c r="K33" s="172">
        <v>10</v>
      </c>
      <c r="L33" s="172">
        <v>8</v>
      </c>
      <c r="M33" s="172">
        <v>13</v>
      </c>
      <c r="N33" s="171">
        <f t="shared" si="2"/>
        <v>70</v>
      </c>
    </row>
    <row r="34" spans="1:14">
      <c r="A34" s="139" t="s">
        <v>88</v>
      </c>
      <c r="B34" s="172">
        <v>0</v>
      </c>
      <c r="C34" s="172">
        <v>0</v>
      </c>
      <c r="D34" s="172">
        <v>0</v>
      </c>
      <c r="E34" s="172">
        <v>0</v>
      </c>
      <c r="F34" s="172">
        <v>0</v>
      </c>
      <c r="G34" s="172">
        <v>1</v>
      </c>
      <c r="H34" s="172">
        <v>0</v>
      </c>
      <c r="I34" s="172">
        <v>1</v>
      </c>
      <c r="J34" s="172">
        <v>22</v>
      </c>
      <c r="K34" s="172">
        <v>63</v>
      </c>
      <c r="L34" s="172">
        <v>34</v>
      </c>
      <c r="M34" s="172">
        <v>27</v>
      </c>
      <c r="N34" s="171">
        <f t="shared" si="2"/>
        <v>148</v>
      </c>
    </row>
    <row r="35" spans="1:14">
      <c r="A35" s="139" t="s">
        <v>109</v>
      </c>
      <c r="B35" s="313">
        <v>0</v>
      </c>
      <c r="C35" s="313">
        <v>0</v>
      </c>
      <c r="D35" s="313">
        <v>0</v>
      </c>
      <c r="E35" s="313">
        <v>0</v>
      </c>
      <c r="F35" s="313">
        <v>0</v>
      </c>
      <c r="G35" s="313">
        <v>1</v>
      </c>
      <c r="H35" s="313">
        <v>0</v>
      </c>
      <c r="I35" s="313">
        <v>0</v>
      </c>
      <c r="J35" s="313">
        <v>2</v>
      </c>
      <c r="K35" s="313">
        <v>4</v>
      </c>
      <c r="L35" s="313">
        <v>3</v>
      </c>
      <c r="M35" s="313">
        <v>3</v>
      </c>
      <c r="N35" s="171">
        <f t="shared" si="2"/>
        <v>13</v>
      </c>
    </row>
    <row r="36" spans="1:14" ht="15.75" thickBot="1">
      <c r="A36" s="17" t="s">
        <v>148</v>
      </c>
      <c r="B36" s="173" t="s">
        <v>42</v>
      </c>
      <c r="C36" s="173" t="s">
        <v>42</v>
      </c>
      <c r="D36" s="173" t="s">
        <v>42</v>
      </c>
      <c r="E36" s="173" t="s">
        <v>42</v>
      </c>
      <c r="F36" s="173">
        <v>0</v>
      </c>
      <c r="G36" s="173">
        <v>0</v>
      </c>
      <c r="H36" s="173">
        <v>0</v>
      </c>
      <c r="I36" s="173">
        <v>0</v>
      </c>
      <c r="J36" s="173">
        <v>0</v>
      </c>
      <c r="K36" s="173">
        <v>1</v>
      </c>
      <c r="L36" s="173">
        <v>0</v>
      </c>
      <c r="M36" s="173">
        <v>0</v>
      </c>
      <c r="N36" s="174">
        <f t="shared" si="2"/>
        <v>1</v>
      </c>
    </row>
    <row r="37" spans="1:14" ht="16.5" thickTop="1" thickBot="1">
      <c r="A37" s="137" t="s">
        <v>46</v>
      </c>
      <c r="B37" s="244">
        <f>SUM(B28:B36)</f>
        <v>140</v>
      </c>
      <c r="C37" s="244">
        <f t="shared" ref="C37:M37" si="3">SUM(C28:C36)</f>
        <v>291</v>
      </c>
      <c r="D37" s="244">
        <f t="shared" si="3"/>
        <v>240</v>
      </c>
      <c r="E37" s="244">
        <f t="shared" si="3"/>
        <v>270</v>
      </c>
      <c r="F37" s="244">
        <f t="shared" si="3"/>
        <v>95</v>
      </c>
      <c r="G37" s="244">
        <f t="shared" si="3"/>
        <v>229</v>
      </c>
      <c r="H37" s="244">
        <f t="shared" si="3"/>
        <v>323</v>
      </c>
      <c r="I37" s="244">
        <f t="shared" si="3"/>
        <v>224</v>
      </c>
      <c r="J37" s="244">
        <f t="shared" si="3"/>
        <v>254</v>
      </c>
      <c r="K37" s="244">
        <f t="shared" si="3"/>
        <v>311</v>
      </c>
      <c r="L37" s="244">
        <f t="shared" si="3"/>
        <v>257</v>
      </c>
      <c r="M37" s="244">
        <f t="shared" si="3"/>
        <v>268</v>
      </c>
      <c r="N37" s="245">
        <f t="shared" si="2"/>
        <v>2902</v>
      </c>
    </row>
    <row r="38" spans="1:14" ht="15.75" thickBot="1">
      <c r="A38" s="126"/>
      <c r="B38" s="226"/>
      <c r="C38" s="226"/>
      <c r="D38" s="226"/>
      <c r="E38" s="226"/>
      <c r="F38" s="226"/>
      <c r="G38" s="226"/>
      <c r="H38" s="226"/>
      <c r="I38" s="226"/>
      <c r="J38" s="226"/>
      <c r="K38" s="226"/>
      <c r="L38" s="226"/>
      <c r="M38" s="226"/>
      <c r="N38" s="226"/>
    </row>
    <row r="39" spans="1:14" ht="15.75" thickBot="1">
      <c r="A39" s="152" t="s">
        <v>20</v>
      </c>
      <c r="B39" s="266">
        <f>0+0</f>
        <v>0</v>
      </c>
      <c r="C39" s="266">
        <f>13+0</f>
        <v>13</v>
      </c>
      <c r="D39" s="266">
        <f>60</f>
        <v>60</v>
      </c>
      <c r="E39" s="266">
        <f>0+18.9</f>
        <v>18.899999999999999</v>
      </c>
      <c r="F39" s="266">
        <f>60+1353.5</f>
        <v>1413.5</v>
      </c>
      <c r="G39" s="266"/>
      <c r="H39" s="266">
        <f>0+40</f>
        <v>40</v>
      </c>
      <c r="I39" s="266">
        <f>0+295.5+17.5</f>
        <v>313</v>
      </c>
      <c r="J39" s="266">
        <f>130</f>
        <v>130</v>
      </c>
      <c r="K39" s="266">
        <f>1493+1165.7</f>
        <v>2658.7</v>
      </c>
      <c r="L39" s="266">
        <f>230+1.8+0</f>
        <v>231.8</v>
      </c>
      <c r="M39" s="266"/>
      <c r="N39" s="267">
        <f>SUM(B39:M39)</f>
        <v>4878.9000000000005</v>
      </c>
    </row>
    <row r="40" spans="1:14" ht="15.75" thickBot="1">
      <c r="A40" s="269"/>
      <c r="B40" s="268"/>
      <c r="C40" s="268"/>
      <c r="D40" s="268"/>
      <c r="E40" s="268"/>
      <c r="F40" s="268"/>
      <c r="G40" s="268"/>
      <c r="H40" s="268"/>
      <c r="I40" s="268"/>
      <c r="J40" s="268"/>
      <c r="K40" s="268"/>
      <c r="L40" s="268"/>
      <c r="M40" s="268"/>
      <c r="N40" s="268"/>
    </row>
    <row r="41" spans="1:14" ht="15.75" thickBot="1">
      <c r="A41" s="151" t="s">
        <v>67</v>
      </c>
      <c r="B41" s="246">
        <f t="shared" ref="B41:N41" si="4">B25+B37+B39</f>
        <v>4397</v>
      </c>
      <c r="C41" s="246">
        <f t="shared" si="4"/>
        <v>4648</v>
      </c>
      <c r="D41" s="246">
        <f t="shared" si="4"/>
        <v>4460</v>
      </c>
      <c r="E41" s="246">
        <f t="shared" si="4"/>
        <v>3939.9</v>
      </c>
      <c r="F41" s="246">
        <f t="shared" si="4"/>
        <v>3681.5</v>
      </c>
      <c r="G41" s="246">
        <f t="shared" si="4"/>
        <v>3782</v>
      </c>
      <c r="H41" s="246">
        <f t="shared" si="4"/>
        <v>3554</v>
      </c>
      <c r="I41" s="246">
        <f t="shared" si="4"/>
        <v>6485</v>
      </c>
      <c r="J41" s="246">
        <f t="shared" si="4"/>
        <v>7809</v>
      </c>
      <c r="K41" s="246">
        <f t="shared" si="4"/>
        <v>8939.7000000000007</v>
      </c>
      <c r="L41" s="246">
        <f t="shared" si="4"/>
        <v>7181.8</v>
      </c>
      <c r="M41" s="246">
        <f t="shared" si="4"/>
        <v>4883</v>
      </c>
      <c r="N41" s="247">
        <f t="shared" si="4"/>
        <v>63760.9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
  <sheetViews>
    <sheetView showGridLines="0" workbookViewId="0">
      <selection activeCell="N1" sqref="N1"/>
    </sheetView>
  </sheetViews>
  <sheetFormatPr defaultColWidth="8.85546875" defaultRowHeight="15"/>
  <cols>
    <col min="1" max="1" width="22" style="17" customWidth="1"/>
    <col min="2" max="5" width="10.7109375" style="17" bestFit="1" customWidth="1"/>
    <col min="6" max="6" width="10.42578125" style="17" customWidth="1"/>
    <col min="7" max="7" width="10.28515625" style="17" customWidth="1"/>
    <col min="8" max="8" width="10.85546875" style="17" customWidth="1"/>
    <col min="9" max="10" width="10.42578125" style="17" customWidth="1"/>
    <col min="11" max="11" width="10.85546875" style="17" customWidth="1"/>
    <col min="12" max="13" width="10.7109375" style="17" bestFit="1" customWidth="1"/>
    <col min="14" max="14" width="11.28515625" style="17" customWidth="1"/>
    <col min="15" max="16384" width="8.85546875" style="17"/>
  </cols>
  <sheetData>
    <row r="1" spans="1:14" ht="15.75" thickBot="1">
      <c r="A1" s="7" t="s">
        <v>0</v>
      </c>
      <c r="B1" s="35">
        <v>39814</v>
      </c>
      <c r="C1" s="35">
        <v>39845</v>
      </c>
      <c r="D1" s="35">
        <v>39873</v>
      </c>
      <c r="E1" s="35">
        <v>39904</v>
      </c>
      <c r="F1" s="35">
        <v>39934</v>
      </c>
      <c r="G1" s="35">
        <v>39965</v>
      </c>
      <c r="H1" s="35">
        <v>39995</v>
      </c>
      <c r="I1" s="35">
        <v>40026</v>
      </c>
      <c r="J1" s="35">
        <v>40057</v>
      </c>
      <c r="K1" s="35">
        <v>40087</v>
      </c>
      <c r="L1" s="35">
        <v>40118</v>
      </c>
      <c r="M1" s="35">
        <v>40148</v>
      </c>
      <c r="N1" s="36" t="s">
        <v>130</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75" customHeight="1">
      <c r="A4" s="28" t="s">
        <v>55</v>
      </c>
      <c r="B4" s="14">
        <v>1376284</v>
      </c>
      <c r="C4" s="14">
        <v>827758</v>
      </c>
      <c r="D4" s="14">
        <v>814866</v>
      </c>
      <c r="E4" s="14">
        <v>920862</v>
      </c>
      <c r="F4" s="14">
        <v>616815</v>
      </c>
      <c r="G4" s="14">
        <v>800140</v>
      </c>
      <c r="H4" s="14">
        <v>856551</v>
      </c>
      <c r="I4" s="14">
        <v>620832</v>
      </c>
      <c r="J4" s="14">
        <v>802998</v>
      </c>
      <c r="K4" s="14">
        <v>616509</v>
      </c>
      <c r="L4" s="14">
        <v>1081962</v>
      </c>
      <c r="M4" s="14">
        <v>1019999</v>
      </c>
      <c r="N4" s="8">
        <f>SUM(B4:M4)</f>
        <v>10355576</v>
      </c>
    </row>
    <row r="5" spans="1:14">
      <c r="A5" s="33" t="s">
        <v>2</v>
      </c>
      <c r="B5" s="15">
        <v>83451</v>
      </c>
      <c r="C5" s="15">
        <v>102091</v>
      </c>
      <c r="D5" s="15">
        <v>75927</v>
      </c>
      <c r="E5" s="15">
        <v>68152</v>
      </c>
      <c r="F5" s="15">
        <v>53537</v>
      </c>
      <c r="G5" s="15">
        <v>47485</v>
      </c>
      <c r="H5" s="15">
        <v>49090</v>
      </c>
      <c r="I5" s="15">
        <v>50752</v>
      </c>
      <c r="J5" s="15">
        <v>56736</v>
      </c>
      <c r="K5" s="15">
        <v>58131</v>
      </c>
      <c r="L5" s="15">
        <v>56050</v>
      </c>
      <c r="M5" s="15">
        <v>54766</v>
      </c>
      <c r="N5" s="9">
        <f t="shared" ref="N5:N9" si="0">SUM(B5:M5)</f>
        <v>756168</v>
      </c>
    </row>
    <row r="6" spans="1:14">
      <c r="A6" s="33" t="s">
        <v>57</v>
      </c>
      <c r="B6" s="15">
        <v>937</v>
      </c>
      <c r="C6" s="15">
        <v>711</v>
      </c>
      <c r="D6" s="15">
        <f>276+277</f>
        <v>553</v>
      </c>
      <c r="E6" s="15">
        <v>239</v>
      </c>
      <c r="F6" s="15">
        <v>147</v>
      </c>
      <c r="G6" s="15">
        <v>93</v>
      </c>
      <c r="H6" s="15">
        <v>72</v>
      </c>
      <c r="I6" s="15">
        <v>200</v>
      </c>
      <c r="J6" s="15">
        <v>483</v>
      </c>
      <c r="K6" s="15">
        <v>517</v>
      </c>
      <c r="L6" s="15">
        <v>962</v>
      </c>
      <c r="M6" s="15">
        <v>966</v>
      </c>
      <c r="N6" s="9">
        <f t="shared" si="0"/>
        <v>5880</v>
      </c>
    </row>
    <row r="7" spans="1:14">
      <c r="A7" s="33" t="s">
        <v>58</v>
      </c>
      <c r="B7" s="15">
        <v>3316</v>
      </c>
      <c r="C7" s="15">
        <v>2904</v>
      </c>
      <c r="D7" s="15">
        <v>2879</v>
      </c>
      <c r="E7" s="15">
        <v>1294</v>
      </c>
      <c r="F7" s="15">
        <v>1382</v>
      </c>
      <c r="G7" s="15">
        <v>982</v>
      </c>
      <c r="H7" s="15">
        <f>333+579</f>
        <v>912</v>
      </c>
      <c r="I7" s="15">
        <v>1226</v>
      </c>
      <c r="J7" s="15">
        <v>2200</v>
      </c>
      <c r="K7" s="15">
        <v>2751</v>
      </c>
      <c r="L7" s="15">
        <v>3636</v>
      </c>
      <c r="M7" s="15">
        <v>3258</v>
      </c>
      <c r="N7" s="9">
        <f t="shared" si="0"/>
        <v>26740</v>
      </c>
    </row>
    <row r="8" spans="1:14">
      <c r="A8" s="81" t="s">
        <v>59</v>
      </c>
      <c r="B8" s="15">
        <v>0</v>
      </c>
      <c r="C8" s="15">
        <v>0</v>
      </c>
      <c r="D8" s="15">
        <v>0</v>
      </c>
      <c r="E8" s="15">
        <v>0</v>
      </c>
      <c r="F8" s="15"/>
      <c r="G8" s="15">
        <v>0</v>
      </c>
      <c r="H8" s="15">
        <v>0</v>
      </c>
      <c r="I8" s="15">
        <v>18</v>
      </c>
      <c r="J8" s="15">
        <v>0</v>
      </c>
      <c r="K8" s="15">
        <v>0</v>
      </c>
      <c r="L8" s="15">
        <v>0</v>
      </c>
      <c r="M8" s="15">
        <v>0</v>
      </c>
      <c r="N8" s="9">
        <f t="shared" si="0"/>
        <v>18</v>
      </c>
    </row>
    <row r="9" spans="1:14" ht="15.75" thickBot="1">
      <c r="A9" s="3" t="s">
        <v>9</v>
      </c>
      <c r="B9" s="16">
        <v>480</v>
      </c>
      <c r="C9" s="16">
        <v>17</v>
      </c>
      <c r="D9" s="58">
        <v>0</v>
      </c>
      <c r="E9" s="58">
        <v>0</v>
      </c>
      <c r="F9" s="58">
        <v>0</v>
      </c>
      <c r="G9" s="58">
        <v>0</v>
      </c>
      <c r="H9" s="58">
        <v>0</v>
      </c>
      <c r="I9" s="58">
        <v>0</v>
      </c>
      <c r="J9" s="58">
        <v>0</v>
      </c>
      <c r="K9" s="58">
        <v>0</v>
      </c>
      <c r="L9" s="58">
        <v>0</v>
      </c>
      <c r="M9" s="58">
        <v>0</v>
      </c>
      <c r="N9" s="10">
        <f t="shared" si="0"/>
        <v>497</v>
      </c>
    </row>
    <row r="10" spans="1:14" ht="17.25" customHeight="1" thickTop="1" thickBot="1">
      <c r="A10" s="12" t="s">
        <v>45</v>
      </c>
      <c r="B10" s="11">
        <f t="shared" ref="B10:N10" si="1">SUM(B4:B9)</f>
        <v>1464468</v>
      </c>
      <c r="C10" s="11">
        <f t="shared" si="1"/>
        <v>933481</v>
      </c>
      <c r="D10" s="11">
        <f t="shared" si="1"/>
        <v>894225</v>
      </c>
      <c r="E10" s="11">
        <f t="shared" si="1"/>
        <v>990547</v>
      </c>
      <c r="F10" s="11">
        <f t="shared" si="1"/>
        <v>671881</v>
      </c>
      <c r="G10" s="11">
        <f t="shared" si="1"/>
        <v>848700</v>
      </c>
      <c r="H10" s="11">
        <f t="shared" si="1"/>
        <v>906625</v>
      </c>
      <c r="I10" s="11">
        <f t="shared" si="1"/>
        <v>673028</v>
      </c>
      <c r="J10" s="11">
        <f t="shared" si="1"/>
        <v>862417</v>
      </c>
      <c r="K10" s="11">
        <f t="shared" si="1"/>
        <v>677908</v>
      </c>
      <c r="L10" s="11">
        <f t="shared" si="1"/>
        <v>1142610</v>
      </c>
      <c r="M10" s="11">
        <f t="shared" si="1"/>
        <v>1078989</v>
      </c>
      <c r="N10" s="55">
        <f t="shared" si="1"/>
        <v>11144879</v>
      </c>
    </row>
    <row r="11" spans="1:14">
      <c r="A11" s="6"/>
      <c r="B11" s="165"/>
      <c r="C11" s="165"/>
      <c r="D11" s="165"/>
      <c r="E11" s="165"/>
      <c r="F11" s="165"/>
      <c r="G11" s="165"/>
      <c r="H11" s="165"/>
      <c r="I11" s="165"/>
      <c r="J11" s="165"/>
      <c r="K11" s="165"/>
      <c r="L11" s="165"/>
      <c r="M11" s="165"/>
      <c r="N11" s="168"/>
    </row>
    <row r="12" spans="1:14" ht="15.75" thickBot="1">
      <c r="A12" s="37" t="s">
        <v>12</v>
      </c>
      <c r="B12" s="165"/>
      <c r="C12" s="165"/>
      <c r="D12" s="165"/>
      <c r="E12" s="165"/>
      <c r="F12" s="165"/>
      <c r="G12" s="165"/>
      <c r="H12" s="165"/>
      <c r="I12" s="165"/>
      <c r="J12" s="165"/>
      <c r="K12" s="165"/>
      <c r="L12" s="165"/>
      <c r="M12" s="165"/>
      <c r="N12" s="168"/>
    </row>
    <row r="13" spans="1:14">
      <c r="A13" s="86" t="s">
        <v>97</v>
      </c>
      <c r="B13" s="14">
        <v>943</v>
      </c>
      <c r="C13" s="14">
        <f>674+408</f>
        <v>1082</v>
      </c>
      <c r="D13" s="14">
        <v>1285</v>
      </c>
      <c r="E13" s="14">
        <v>1029</v>
      </c>
      <c r="F13" s="14">
        <v>1212</v>
      </c>
      <c r="G13" s="14">
        <v>1370</v>
      </c>
      <c r="H13" s="14">
        <v>1248</v>
      </c>
      <c r="I13" s="14">
        <v>1357</v>
      </c>
      <c r="J13" s="14">
        <v>945</v>
      </c>
      <c r="K13" s="14">
        <v>566</v>
      </c>
      <c r="L13" s="14">
        <v>615</v>
      </c>
      <c r="M13" s="56">
        <v>643</v>
      </c>
      <c r="N13" s="57">
        <f>SUM(B13:M13)</f>
        <v>12295</v>
      </c>
    </row>
    <row r="14" spans="1:14">
      <c r="A14" s="3" t="s">
        <v>10</v>
      </c>
      <c r="B14" s="15">
        <v>1249</v>
      </c>
      <c r="C14" s="15">
        <f>596+278</f>
        <v>874</v>
      </c>
      <c r="D14" s="15">
        <v>1305</v>
      </c>
      <c r="E14" s="15">
        <v>1080</v>
      </c>
      <c r="F14" s="15">
        <v>248.4</v>
      </c>
      <c r="G14" s="15">
        <v>1022</v>
      </c>
      <c r="H14" s="15">
        <v>848</v>
      </c>
      <c r="I14" s="15">
        <v>799</v>
      </c>
      <c r="J14" s="15" t="s">
        <v>42</v>
      </c>
      <c r="K14" s="15" t="s">
        <v>42</v>
      </c>
      <c r="L14" s="15" t="s">
        <v>42</v>
      </c>
      <c r="M14" s="15" t="s">
        <v>42</v>
      </c>
      <c r="N14" s="38">
        <f t="shared" ref="N14:N19" si="2">SUM(B14:M14)</f>
        <v>7425.4</v>
      </c>
    </row>
    <row r="15" spans="1:14">
      <c r="A15" s="3" t="s">
        <v>11</v>
      </c>
      <c r="B15" s="15">
        <v>23640</v>
      </c>
      <c r="C15" s="15">
        <v>18480</v>
      </c>
      <c r="D15" s="15">
        <v>17760</v>
      </c>
      <c r="E15" s="15">
        <v>5160</v>
      </c>
      <c r="F15" s="15">
        <v>1102</v>
      </c>
      <c r="G15" s="15">
        <v>2760</v>
      </c>
      <c r="H15" s="15">
        <v>3000</v>
      </c>
      <c r="I15" s="15">
        <v>960</v>
      </c>
      <c r="J15" s="15" t="s">
        <v>42</v>
      </c>
      <c r="K15" s="15" t="s">
        <v>42</v>
      </c>
      <c r="L15" s="15" t="s">
        <v>42</v>
      </c>
      <c r="M15" s="15" t="s">
        <v>42</v>
      </c>
      <c r="N15" s="38">
        <f t="shared" si="2"/>
        <v>72862</v>
      </c>
    </row>
    <row r="16" spans="1:14">
      <c r="A16" s="25" t="s">
        <v>98</v>
      </c>
      <c r="B16" s="15">
        <v>9960</v>
      </c>
      <c r="C16" s="15">
        <v>6720</v>
      </c>
      <c r="D16" s="15">
        <v>5120</v>
      </c>
      <c r="E16" s="15">
        <v>1240</v>
      </c>
      <c r="F16" s="15">
        <v>1098</v>
      </c>
      <c r="G16" s="15">
        <v>0</v>
      </c>
      <c r="H16" s="15">
        <v>0</v>
      </c>
      <c r="I16" s="15">
        <v>902</v>
      </c>
      <c r="J16" s="15">
        <v>0</v>
      </c>
      <c r="K16" s="15">
        <v>4240</v>
      </c>
      <c r="L16" s="15">
        <v>1200</v>
      </c>
      <c r="M16" s="15">
        <v>1200</v>
      </c>
      <c r="N16" s="38">
        <f t="shared" si="2"/>
        <v>31680</v>
      </c>
    </row>
    <row r="17" spans="1:14">
      <c r="A17" s="25" t="s">
        <v>85</v>
      </c>
      <c r="B17" s="15">
        <v>3391</v>
      </c>
      <c r="C17" s="15">
        <v>4036</v>
      </c>
      <c r="D17" s="15">
        <v>3612</v>
      </c>
      <c r="E17" s="15">
        <v>2000</v>
      </c>
      <c r="F17" s="15">
        <v>552</v>
      </c>
      <c r="G17" s="15">
        <v>1380</v>
      </c>
      <c r="H17" s="15">
        <v>1231</v>
      </c>
      <c r="I17" s="15">
        <v>0</v>
      </c>
      <c r="J17" s="15">
        <v>1990</v>
      </c>
      <c r="K17" s="15">
        <v>2558</v>
      </c>
      <c r="L17" s="15">
        <v>3553</v>
      </c>
      <c r="M17" s="15">
        <v>4302</v>
      </c>
      <c r="N17" s="38">
        <f t="shared" si="2"/>
        <v>28605</v>
      </c>
    </row>
    <row r="18" spans="1:14">
      <c r="A18" s="25" t="s">
        <v>99</v>
      </c>
      <c r="B18" s="15">
        <v>522</v>
      </c>
      <c r="C18" s="15">
        <f>305+184</f>
        <v>489</v>
      </c>
      <c r="D18" s="15">
        <v>571</v>
      </c>
      <c r="E18" s="15">
        <v>917</v>
      </c>
      <c r="F18" s="15">
        <v>3720</v>
      </c>
      <c r="G18" s="15">
        <v>1258</v>
      </c>
      <c r="H18" s="15">
        <v>848</v>
      </c>
      <c r="I18" s="15">
        <v>1466</v>
      </c>
      <c r="J18" s="15">
        <v>1203</v>
      </c>
      <c r="K18" s="15">
        <v>493</v>
      </c>
      <c r="L18" s="15">
        <v>447</v>
      </c>
      <c r="M18" s="15">
        <v>500</v>
      </c>
      <c r="N18" s="38">
        <f t="shared" si="2"/>
        <v>12434</v>
      </c>
    </row>
    <row r="19" spans="1:14" ht="15.75" thickBot="1">
      <c r="A19" s="25" t="s">
        <v>100</v>
      </c>
      <c r="B19" s="16">
        <v>123200</v>
      </c>
      <c r="C19" s="16">
        <v>97600</v>
      </c>
      <c r="D19" s="16">
        <v>80800</v>
      </c>
      <c r="E19" s="16">
        <v>44800</v>
      </c>
      <c r="F19" s="16">
        <v>30400</v>
      </c>
      <c r="G19" s="16">
        <v>31200</v>
      </c>
      <c r="H19" s="16">
        <v>25600</v>
      </c>
      <c r="I19" s="16">
        <v>1357</v>
      </c>
      <c r="J19" s="16">
        <v>58400</v>
      </c>
      <c r="K19" s="16">
        <v>56800</v>
      </c>
      <c r="L19" s="16">
        <v>51200</v>
      </c>
      <c r="M19" s="16">
        <v>56800</v>
      </c>
      <c r="N19" s="58">
        <f t="shared" si="2"/>
        <v>658157</v>
      </c>
    </row>
    <row r="20" spans="1:14" ht="16.5" thickTop="1" thickBot="1">
      <c r="A20" s="12" t="s">
        <v>47</v>
      </c>
      <c r="B20" s="11">
        <f t="shared" ref="B20:M20" si="3">SUM(B13:B19)</f>
        <v>162905</v>
      </c>
      <c r="C20" s="11">
        <f t="shared" si="3"/>
        <v>129281</v>
      </c>
      <c r="D20" s="11">
        <f t="shared" si="3"/>
        <v>110453</v>
      </c>
      <c r="E20" s="11">
        <f t="shared" si="3"/>
        <v>56226</v>
      </c>
      <c r="F20" s="11">
        <f t="shared" si="3"/>
        <v>38332.400000000001</v>
      </c>
      <c r="G20" s="11">
        <f t="shared" si="3"/>
        <v>38990</v>
      </c>
      <c r="H20" s="11">
        <f t="shared" si="3"/>
        <v>32775</v>
      </c>
      <c r="I20" s="11">
        <f>SUM(I13:I19)</f>
        <v>6841</v>
      </c>
      <c r="J20" s="11">
        <f>SUM(J13:J19)</f>
        <v>62538</v>
      </c>
      <c r="K20" s="11">
        <f t="shared" si="3"/>
        <v>64657</v>
      </c>
      <c r="L20" s="11">
        <f t="shared" si="3"/>
        <v>57015</v>
      </c>
      <c r="M20" s="11">
        <f t="shared" si="3"/>
        <v>63445</v>
      </c>
      <c r="N20" s="55">
        <f>SUM(N13:N19)</f>
        <v>823458.4</v>
      </c>
    </row>
    <row r="21" spans="1:14" ht="15.75" thickBot="1">
      <c r="A21" s="6"/>
      <c r="B21" s="165"/>
      <c r="C21" s="165"/>
      <c r="D21" s="165"/>
      <c r="E21" s="165"/>
      <c r="F21" s="165"/>
      <c r="G21" s="165"/>
      <c r="H21" s="165"/>
      <c r="I21" s="165"/>
      <c r="J21" s="165"/>
      <c r="K21" s="165"/>
      <c r="L21" s="165"/>
      <c r="M21" s="165"/>
      <c r="N21" s="168"/>
    </row>
    <row r="22" spans="1:14">
      <c r="A22" s="45" t="s">
        <v>16</v>
      </c>
      <c r="B22" s="41">
        <f t="shared" ref="B22:N22" si="4">B10+B20</f>
        <v>1627373</v>
      </c>
      <c r="C22" s="41">
        <f t="shared" si="4"/>
        <v>1062762</v>
      </c>
      <c r="D22" s="41">
        <f t="shared" si="4"/>
        <v>1004678</v>
      </c>
      <c r="E22" s="41">
        <f t="shared" si="4"/>
        <v>1046773</v>
      </c>
      <c r="F22" s="41">
        <f t="shared" si="4"/>
        <v>710213.4</v>
      </c>
      <c r="G22" s="41">
        <f t="shared" si="4"/>
        <v>887690</v>
      </c>
      <c r="H22" s="41">
        <f t="shared" si="4"/>
        <v>939400</v>
      </c>
      <c r="I22" s="41">
        <f t="shared" si="4"/>
        <v>679869</v>
      </c>
      <c r="J22" s="41">
        <f t="shared" si="4"/>
        <v>924955</v>
      </c>
      <c r="K22" s="41">
        <f t="shared" si="4"/>
        <v>742565</v>
      </c>
      <c r="L22" s="41">
        <f t="shared" si="4"/>
        <v>1199625</v>
      </c>
      <c r="M22" s="41">
        <f t="shared" si="4"/>
        <v>1142434</v>
      </c>
      <c r="N22" s="42">
        <f t="shared" si="4"/>
        <v>11968337.4</v>
      </c>
    </row>
    <row r="23" spans="1:14">
      <c r="A23" s="26" t="s">
        <v>17</v>
      </c>
      <c r="B23" s="162">
        <v>221667</v>
      </c>
      <c r="C23" s="162">
        <v>596330</v>
      </c>
      <c r="D23" s="162">
        <v>657175</v>
      </c>
      <c r="E23" s="162">
        <v>553777</v>
      </c>
      <c r="F23" s="162">
        <v>522211</v>
      </c>
      <c r="G23" s="162">
        <v>538356</v>
      </c>
      <c r="H23" s="162">
        <v>580262</v>
      </c>
      <c r="I23" s="162">
        <v>940584</v>
      </c>
      <c r="J23" s="162">
        <v>573281</v>
      </c>
      <c r="K23" s="162">
        <v>770654</v>
      </c>
      <c r="L23" s="162">
        <v>420941</v>
      </c>
      <c r="M23" s="162">
        <v>1404910</v>
      </c>
      <c r="N23" s="163">
        <f>SUM(B23:M23)</f>
        <v>7780148</v>
      </c>
    </row>
    <row r="24" spans="1:14" ht="15.75" thickBot="1">
      <c r="A24" s="20" t="s">
        <v>18</v>
      </c>
      <c r="B24" s="164">
        <f>SUM(B22:B23)</f>
        <v>1849040</v>
      </c>
      <c r="C24" s="164">
        <f t="shared" ref="C24:N24" si="5">SUM(C22:C23)</f>
        <v>1659092</v>
      </c>
      <c r="D24" s="164">
        <f t="shared" si="5"/>
        <v>1661853</v>
      </c>
      <c r="E24" s="164">
        <f t="shared" si="5"/>
        <v>1600550</v>
      </c>
      <c r="F24" s="164">
        <f t="shared" si="5"/>
        <v>1232424.3999999999</v>
      </c>
      <c r="G24" s="164">
        <f t="shared" si="5"/>
        <v>1426046</v>
      </c>
      <c r="H24" s="164">
        <f t="shared" si="5"/>
        <v>1519662</v>
      </c>
      <c r="I24" s="164">
        <f t="shared" si="5"/>
        <v>1620453</v>
      </c>
      <c r="J24" s="164">
        <f t="shared" si="5"/>
        <v>1498236</v>
      </c>
      <c r="K24" s="164">
        <f t="shared" si="5"/>
        <v>1513219</v>
      </c>
      <c r="L24" s="164">
        <f t="shared" si="5"/>
        <v>1620566</v>
      </c>
      <c r="M24" s="164">
        <f t="shared" si="5"/>
        <v>2547344</v>
      </c>
      <c r="N24" s="169">
        <f t="shared" si="5"/>
        <v>19748485.399999999</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N42"/>
  <sheetViews>
    <sheetView topLeftCell="A25" workbookViewId="0">
      <selection activeCell="M30" sqref="M30"/>
    </sheetView>
  </sheetViews>
  <sheetFormatPr defaultRowHeight="15"/>
  <cols>
    <col min="1" max="1" width="30.28515625" customWidth="1"/>
  </cols>
  <sheetData>
    <row r="1" spans="1:14" ht="17.25" thickBot="1">
      <c r="A1" s="152" t="s">
        <v>0</v>
      </c>
      <c r="B1" s="153">
        <v>44562</v>
      </c>
      <c r="C1" s="153">
        <v>44593</v>
      </c>
      <c r="D1" s="153">
        <v>44621</v>
      </c>
      <c r="E1" s="153">
        <v>44652</v>
      </c>
      <c r="F1" s="153">
        <v>44682</v>
      </c>
      <c r="G1" s="153">
        <v>44713</v>
      </c>
      <c r="H1" s="153">
        <v>44743</v>
      </c>
      <c r="I1" s="153">
        <v>44774</v>
      </c>
      <c r="J1" s="153">
        <v>44805</v>
      </c>
      <c r="K1" s="153">
        <v>44835</v>
      </c>
      <c r="L1" s="153">
        <v>44866</v>
      </c>
      <c r="M1" s="153">
        <v>44896</v>
      </c>
      <c r="N1" s="154" t="s">
        <v>131</v>
      </c>
    </row>
    <row r="2" spans="1:14">
      <c r="A2" s="126"/>
      <c r="B2" s="127"/>
      <c r="C2" s="127"/>
      <c r="D2" s="127"/>
      <c r="E2" s="127"/>
      <c r="F2" s="127"/>
      <c r="G2" s="127"/>
      <c r="H2" s="127"/>
      <c r="I2" s="127"/>
      <c r="J2" s="127"/>
      <c r="K2" s="127"/>
      <c r="L2" s="127"/>
      <c r="M2" s="127"/>
      <c r="N2" s="128"/>
    </row>
    <row r="3" spans="1:14">
      <c r="A3" s="6" t="s">
        <v>51</v>
      </c>
      <c r="B3" s="127"/>
      <c r="C3" s="127"/>
      <c r="D3" s="127"/>
      <c r="E3" s="127"/>
      <c r="F3" s="127"/>
      <c r="G3" s="127"/>
      <c r="H3" s="127"/>
      <c r="I3" s="127"/>
      <c r="J3" s="127"/>
      <c r="K3" s="127"/>
      <c r="L3" s="127"/>
      <c r="M3" s="127"/>
      <c r="N3" s="128"/>
    </row>
    <row r="4" spans="1:14">
      <c r="A4" s="139" t="s">
        <v>25</v>
      </c>
      <c r="B4" s="172">
        <v>126</v>
      </c>
      <c r="C4" s="172">
        <v>126</v>
      </c>
      <c r="D4" s="172">
        <v>152</v>
      </c>
      <c r="E4" s="172">
        <v>135</v>
      </c>
      <c r="F4" s="172">
        <v>59.86</v>
      </c>
      <c r="G4" s="172">
        <v>68.14</v>
      </c>
      <c r="H4" s="172">
        <v>49</v>
      </c>
      <c r="I4" s="172">
        <v>72</v>
      </c>
      <c r="J4" s="172">
        <v>205</v>
      </c>
      <c r="K4" s="172">
        <v>174</v>
      </c>
      <c r="L4" s="172">
        <v>278</v>
      </c>
      <c r="M4" s="172">
        <v>134</v>
      </c>
      <c r="N4" s="172">
        <f t="shared" ref="N4:N25" si="0">SUM(B4:M4)</f>
        <v>1579</v>
      </c>
    </row>
    <row r="5" spans="1:14">
      <c r="A5" s="139" t="s">
        <v>24</v>
      </c>
      <c r="B5" s="172">
        <v>110</v>
      </c>
      <c r="C5" s="172">
        <v>137</v>
      </c>
      <c r="D5" s="172">
        <v>192</v>
      </c>
      <c r="E5" s="172">
        <v>838</v>
      </c>
      <c r="F5" s="172">
        <v>312</v>
      </c>
      <c r="G5" s="172">
        <v>262</v>
      </c>
      <c r="H5" s="172">
        <v>303</v>
      </c>
      <c r="I5" s="172">
        <v>354</v>
      </c>
      <c r="J5" s="172">
        <v>388</v>
      </c>
      <c r="K5" s="172">
        <v>326</v>
      </c>
      <c r="L5" s="172">
        <v>1052</v>
      </c>
      <c r="M5" s="172">
        <v>163</v>
      </c>
      <c r="N5" s="172">
        <f t="shared" si="0"/>
        <v>4437</v>
      </c>
    </row>
    <row r="6" spans="1:14">
      <c r="A6" s="139" t="s">
        <v>27</v>
      </c>
      <c r="B6" s="172">
        <v>74</v>
      </c>
      <c r="C6" s="172">
        <v>55</v>
      </c>
      <c r="D6" s="172">
        <v>58</v>
      </c>
      <c r="E6" s="172">
        <v>67</v>
      </c>
      <c r="F6" s="172">
        <v>68.2</v>
      </c>
      <c r="G6" s="172">
        <v>63.8</v>
      </c>
      <c r="H6" s="172">
        <v>62</v>
      </c>
      <c r="I6" s="172">
        <v>79</v>
      </c>
      <c r="J6" s="172">
        <v>58</v>
      </c>
      <c r="K6" s="172">
        <v>59</v>
      </c>
      <c r="L6" s="172">
        <v>72</v>
      </c>
      <c r="M6" s="172">
        <v>36</v>
      </c>
      <c r="N6" s="172">
        <f t="shared" si="0"/>
        <v>752</v>
      </c>
    </row>
    <row r="7" spans="1:14">
      <c r="A7" s="139" t="s">
        <v>115</v>
      </c>
      <c r="B7" s="172">
        <v>976</v>
      </c>
      <c r="C7" s="172">
        <v>831</v>
      </c>
      <c r="D7" s="172">
        <v>762</v>
      </c>
      <c r="E7" s="172">
        <v>721</v>
      </c>
      <c r="F7" s="172">
        <v>735</v>
      </c>
      <c r="G7" s="172">
        <v>683</v>
      </c>
      <c r="H7" s="172">
        <v>847</v>
      </c>
      <c r="I7" s="172">
        <v>1428</v>
      </c>
      <c r="J7" s="172">
        <v>1181</v>
      </c>
      <c r="K7" s="172">
        <v>1295</v>
      </c>
      <c r="L7" s="172">
        <v>1932</v>
      </c>
      <c r="M7" s="172">
        <v>2276</v>
      </c>
      <c r="N7" s="172">
        <f t="shared" si="0"/>
        <v>13667</v>
      </c>
    </row>
    <row r="8" spans="1:14">
      <c r="A8" s="139" t="s">
        <v>116</v>
      </c>
      <c r="B8" s="172">
        <v>482</v>
      </c>
      <c r="C8" s="172">
        <v>387</v>
      </c>
      <c r="D8" s="172">
        <v>512</v>
      </c>
      <c r="E8" s="172">
        <v>466</v>
      </c>
      <c r="F8" s="172">
        <v>45.97</v>
      </c>
      <c r="G8" s="172">
        <v>35.03</v>
      </c>
      <c r="H8" s="172">
        <v>35</v>
      </c>
      <c r="I8" s="172">
        <v>180</v>
      </c>
      <c r="J8" s="172">
        <v>452</v>
      </c>
      <c r="K8" s="172">
        <v>466</v>
      </c>
      <c r="L8" s="172">
        <v>517</v>
      </c>
      <c r="M8" s="172">
        <v>227</v>
      </c>
      <c r="N8" s="172">
        <f t="shared" si="0"/>
        <v>3805</v>
      </c>
    </row>
    <row r="9" spans="1:14">
      <c r="A9" s="139" t="s">
        <v>28</v>
      </c>
      <c r="B9" s="172">
        <v>139</v>
      </c>
      <c r="C9" s="172">
        <v>240</v>
      </c>
      <c r="D9" s="172">
        <v>203</v>
      </c>
      <c r="E9" s="172">
        <v>210</v>
      </c>
      <c r="F9" s="172">
        <v>151</v>
      </c>
      <c r="G9" s="172">
        <v>3689</v>
      </c>
      <c r="H9" s="172">
        <v>2805</v>
      </c>
      <c r="I9" s="172">
        <v>1104</v>
      </c>
      <c r="J9" s="172">
        <v>281</v>
      </c>
      <c r="K9" s="172">
        <v>222</v>
      </c>
      <c r="L9" s="172">
        <v>660</v>
      </c>
      <c r="M9" s="172">
        <v>551</v>
      </c>
      <c r="N9" s="172">
        <f t="shared" si="0"/>
        <v>10255</v>
      </c>
    </row>
    <row r="10" spans="1:14">
      <c r="A10" s="139" t="s">
        <v>81</v>
      </c>
      <c r="B10" s="172">
        <f>970+49</f>
        <v>1019</v>
      </c>
      <c r="C10" s="172">
        <f>883+77</f>
        <v>960</v>
      </c>
      <c r="D10" s="172">
        <f>1004+90</f>
        <v>1094</v>
      </c>
      <c r="E10" s="172">
        <f>700+34</f>
        <v>734</v>
      </c>
      <c r="F10" s="172">
        <f>544+39</f>
        <v>583</v>
      </c>
      <c r="G10" s="172">
        <f>292+19</f>
        <v>311</v>
      </c>
      <c r="H10" s="172">
        <f>761+5</f>
        <v>766</v>
      </c>
      <c r="I10" s="172">
        <f>951+183</f>
        <v>1134</v>
      </c>
      <c r="J10" s="172">
        <f>1130+216</f>
        <v>1346</v>
      </c>
      <c r="K10" s="172">
        <f>897+99</f>
        <v>996</v>
      </c>
      <c r="L10" s="172">
        <f>1352+105</f>
        <v>1457</v>
      </c>
      <c r="M10" s="172">
        <f>579+91</f>
        <v>670</v>
      </c>
      <c r="N10" s="172">
        <f t="shared" si="0"/>
        <v>11070</v>
      </c>
    </row>
    <row r="11" spans="1:14">
      <c r="A11" s="139" t="s">
        <v>117</v>
      </c>
      <c r="B11" s="172">
        <v>385</v>
      </c>
      <c r="C11" s="172">
        <v>101</v>
      </c>
      <c r="D11" s="172">
        <v>334</v>
      </c>
      <c r="E11" s="172">
        <v>247</v>
      </c>
      <c r="F11" s="172">
        <v>50.08</v>
      </c>
      <c r="G11" s="172">
        <v>96.9</v>
      </c>
      <c r="H11" s="172">
        <v>38</v>
      </c>
      <c r="I11" s="172">
        <v>257</v>
      </c>
      <c r="J11" s="172">
        <v>596</v>
      </c>
      <c r="K11" s="172">
        <v>289</v>
      </c>
      <c r="L11" s="172">
        <v>415</v>
      </c>
      <c r="M11" s="172">
        <v>190</v>
      </c>
      <c r="N11" s="172">
        <f t="shared" si="0"/>
        <v>2998.98</v>
      </c>
    </row>
    <row r="12" spans="1:14">
      <c r="A12" s="139" t="s">
        <v>33</v>
      </c>
      <c r="B12" s="172">
        <v>0</v>
      </c>
      <c r="C12" s="172">
        <v>0</v>
      </c>
      <c r="D12" s="172">
        <v>0</v>
      </c>
      <c r="E12" s="172">
        <v>0</v>
      </c>
      <c r="F12" s="172">
        <v>0</v>
      </c>
      <c r="G12" s="172">
        <v>0</v>
      </c>
      <c r="H12" s="172">
        <v>0</v>
      </c>
      <c r="I12" s="172">
        <v>0</v>
      </c>
      <c r="J12" s="172">
        <v>0</v>
      </c>
      <c r="K12" s="172">
        <v>0</v>
      </c>
      <c r="L12" s="172">
        <v>0</v>
      </c>
      <c r="M12" s="172">
        <v>0</v>
      </c>
      <c r="N12" s="172">
        <f t="shared" si="0"/>
        <v>0</v>
      </c>
    </row>
    <row r="13" spans="1:14">
      <c r="A13" s="139" t="s">
        <v>118</v>
      </c>
      <c r="B13" s="172">
        <v>0</v>
      </c>
      <c r="C13" s="172">
        <v>5</v>
      </c>
      <c r="D13" s="172">
        <v>1</v>
      </c>
      <c r="E13" s="172">
        <v>3</v>
      </c>
      <c r="F13" s="172">
        <v>7</v>
      </c>
      <c r="G13" s="172">
        <v>6</v>
      </c>
      <c r="H13" s="172">
        <v>4</v>
      </c>
      <c r="I13" s="172">
        <v>15</v>
      </c>
      <c r="J13" s="172">
        <v>6</v>
      </c>
      <c r="K13" s="172">
        <v>4</v>
      </c>
      <c r="L13" s="172">
        <v>5</v>
      </c>
      <c r="M13" s="172">
        <v>5</v>
      </c>
      <c r="N13" s="172">
        <f t="shared" si="0"/>
        <v>61</v>
      </c>
    </row>
    <row r="14" spans="1:14">
      <c r="A14" s="139" t="s">
        <v>76</v>
      </c>
      <c r="B14" s="172"/>
      <c r="C14" s="172">
        <v>212</v>
      </c>
      <c r="D14" s="172">
        <v>262</v>
      </c>
      <c r="E14" s="172">
        <v>206</v>
      </c>
      <c r="F14" s="172">
        <v>155.80000000000001</v>
      </c>
      <c r="G14" s="172">
        <v>115.2</v>
      </c>
      <c r="H14" s="172">
        <v>70</v>
      </c>
      <c r="I14" s="172">
        <v>230</v>
      </c>
      <c r="J14" s="172">
        <v>307</v>
      </c>
      <c r="K14" s="172">
        <v>308</v>
      </c>
      <c r="L14" s="172">
        <v>382</v>
      </c>
      <c r="M14" s="172">
        <v>143</v>
      </c>
      <c r="N14" s="172">
        <f t="shared" si="0"/>
        <v>2391</v>
      </c>
    </row>
    <row r="15" spans="1:14">
      <c r="A15" s="139" t="s">
        <v>29</v>
      </c>
      <c r="B15" s="172">
        <v>0</v>
      </c>
      <c r="C15" s="172">
        <v>0</v>
      </c>
      <c r="D15" s="172">
        <v>0</v>
      </c>
      <c r="E15" s="172">
        <v>0</v>
      </c>
      <c r="F15" s="172">
        <v>0</v>
      </c>
      <c r="G15" s="172">
        <v>0</v>
      </c>
      <c r="H15" s="172">
        <v>0</v>
      </c>
      <c r="I15" s="172">
        <v>0</v>
      </c>
      <c r="J15" s="172">
        <v>0</v>
      </c>
      <c r="K15" s="172">
        <v>0</v>
      </c>
      <c r="L15" s="172">
        <v>0</v>
      </c>
      <c r="M15" s="172">
        <v>0</v>
      </c>
      <c r="N15" s="172">
        <f t="shared" si="0"/>
        <v>0</v>
      </c>
    </row>
    <row r="16" spans="1:14">
      <c r="A16" s="139" t="s">
        <v>119</v>
      </c>
      <c r="B16" s="172">
        <v>0</v>
      </c>
      <c r="C16" s="172">
        <v>2</v>
      </c>
      <c r="D16" s="172">
        <v>2</v>
      </c>
      <c r="E16" s="172">
        <v>6</v>
      </c>
      <c r="F16" s="314">
        <v>6</v>
      </c>
      <c r="G16" s="314">
        <v>7</v>
      </c>
      <c r="H16" s="314">
        <v>7</v>
      </c>
      <c r="I16" s="314">
        <v>4</v>
      </c>
      <c r="J16" s="172">
        <v>1</v>
      </c>
      <c r="K16" s="172">
        <v>23</v>
      </c>
      <c r="L16" s="172">
        <v>2</v>
      </c>
      <c r="M16" s="172">
        <v>0</v>
      </c>
      <c r="N16" s="172">
        <f t="shared" si="0"/>
        <v>60</v>
      </c>
    </row>
    <row r="17" spans="1:14">
      <c r="A17" s="139" t="s">
        <v>2</v>
      </c>
      <c r="B17" s="172">
        <v>48</v>
      </c>
      <c r="C17" s="172">
        <v>45</v>
      </c>
      <c r="D17" s="172">
        <v>55</v>
      </c>
      <c r="E17" s="172">
        <v>74</v>
      </c>
      <c r="F17" s="172">
        <v>79.7</v>
      </c>
      <c r="G17" s="172">
        <v>70.3</v>
      </c>
      <c r="H17" s="172">
        <v>74</v>
      </c>
      <c r="I17" s="172">
        <v>106</v>
      </c>
      <c r="J17" s="172">
        <v>83</v>
      </c>
      <c r="K17" s="172">
        <v>79</v>
      </c>
      <c r="L17" s="172">
        <v>97</v>
      </c>
      <c r="M17" s="172">
        <v>52</v>
      </c>
      <c r="N17" s="172">
        <f t="shared" si="0"/>
        <v>863</v>
      </c>
    </row>
    <row r="18" spans="1:14">
      <c r="A18" s="139" t="s">
        <v>30</v>
      </c>
      <c r="B18" s="172">
        <v>163</v>
      </c>
      <c r="C18" s="172">
        <v>167</v>
      </c>
      <c r="D18" s="172">
        <v>165</v>
      </c>
      <c r="E18" s="172">
        <v>174</v>
      </c>
      <c r="F18" s="172">
        <v>153.30000000000001</v>
      </c>
      <c r="G18" s="172">
        <v>195.7</v>
      </c>
      <c r="H18" s="172">
        <v>344</v>
      </c>
      <c r="I18" s="172">
        <v>536</v>
      </c>
      <c r="J18" s="172">
        <v>374</v>
      </c>
      <c r="K18" s="172">
        <v>310</v>
      </c>
      <c r="L18" s="172">
        <v>332</v>
      </c>
      <c r="M18" s="172">
        <v>129</v>
      </c>
      <c r="N18" s="172">
        <f t="shared" si="0"/>
        <v>3043</v>
      </c>
    </row>
    <row r="19" spans="1:14">
      <c r="A19" s="139" t="s">
        <v>120</v>
      </c>
      <c r="B19" s="172">
        <v>860</v>
      </c>
      <c r="C19" s="172">
        <v>753</v>
      </c>
      <c r="D19" s="172">
        <v>855</v>
      </c>
      <c r="E19" s="172">
        <v>295</v>
      </c>
      <c r="F19" s="172">
        <v>139</v>
      </c>
      <c r="G19" s="172">
        <v>126</v>
      </c>
      <c r="H19" s="172">
        <v>107</v>
      </c>
      <c r="I19" s="172">
        <v>202</v>
      </c>
      <c r="J19" s="172">
        <v>534</v>
      </c>
      <c r="K19" s="172">
        <v>472</v>
      </c>
      <c r="L19" s="172">
        <v>543</v>
      </c>
      <c r="M19" s="172">
        <v>232</v>
      </c>
      <c r="N19" s="172">
        <f t="shared" si="0"/>
        <v>5118</v>
      </c>
    </row>
    <row r="20" spans="1:14">
      <c r="A20" s="139" t="s">
        <v>122</v>
      </c>
      <c r="B20" s="172">
        <v>611</v>
      </c>
      <c r="C20" s="172">
        <v>591</v>
      </c>
      <c r="D20" s="172">
        <v>674</v>
      </c>
      <c r="E20" s="172">
        <v>417</v>
      </c>
      <c r="F20" s="172">
        <v>110.89</v>
      </c>
      <c r="G20" s="172">
        <v>50.11</v>
      </c>
      <c r="H20" s="172">
        <v>68</v>
      </c>
      <c r="I20" s="172">
        <v>184</v>
      </c>
      <c r="J20" s="172">
        <v>655</v>
      </c>
      <c r="K20" s="172">
        <v>530</v>
      </c>
      <c r="L20" s="172">
        <v>853</v>
      </c>
      <c r="M20" s="172">
        <v>440</v>
      </c>
      <c r="N20" s="172">
        <f t="shared" si="0"/>
        <v>5184</v>
      </c>
    </row>
    <row r="21" spans="1:14">
      <c r="A21" s="139" t="s">
        <v>121</v>
      </c>
      <c r="B21" s="172">
        <v>457</v>
      </c>
      <c r="C21" s="172">
        <v>480</v>
      </c>
      <c r="D21" s="172">
        <v>574</v>
      </c>
      <c r="E21" s="172">
        <v>379</v>
      </c>
      <c r="F21" s="172">
        <v>26.64</v>
      </c>
      <c r="G21" s="172">
        <v>20</v>
      </c>
      <c r="H21" s="172">
        <v>22.36</v>
      </c>
      <c r="I21" s="172">
        <v>132</v>
      </c>
      <c r="J21" s="172">
        <v>753</v>
      </c>
      <c r="K21" s="172">
        <v>472</v>
      </c>
      <c r="L21" s="172">
        <v>732</v>
      </c>
      <c r="M21" s="172">
        <v>318</v>
      </c>
      <c r="N21" s="172">
        <f t="shared" si="0"/>
        <v>4366</v>
      </c>
    </row>
    <row r="22" spans="1:14">
      <c r="A22" s="139" t="s">
        <v>31</v>
      </c>
      <c r="B22" s="172">
        <v>673</v>
      </c>
      <c r="C22" s="172">
        <v>653</v>
      </c>
      <c r="D22" s="172">
        <v>805</v>
      </c>
      <c r="E22" s="172">
        <v>702</v>
      </c>
      <c r="F22" s="172">
        <v>386.6</v>
      </c>
      <c r="G22" s="172">
        <v>2049</v>
      </c>
      <c r="H22" s="172">
        <v>3105.4</v>
      </c>
      <c r="I22" s="172">
        <v>999</v>
      </c>
      <c r="J22" s="172">
        <v>940</v>
      </c>
      <c r="K22" s="172">
        <v>826</v>
      </c>
      <c r="L22" s="172">
        <v>1250</v>
      </c>
      <c r="M22" s="172">
        <v>729</v>
      </c>
      <c r="N22" s="172">
        <f t="shared" si="0"/>
        <v>13118</v>
      </c>
    </row>
    <row r="23" spans="1:14">
      <c r="A23" s="139" t="s">
        <v>123</v>
      </c>
      <c r="B23" s="172">
        <v>78</v>
      </c>
      <c r="C23" s="172">
        <v>77</v>
      </c>
      <c r="D23" s="172">
        <v>63</v>
      </c>
      <c r="E23" s="172">
        <v>58</v>
      </c>
      <c r="F23" s="172">
        <v>64</v>
      </c>
      <c r="G23" s="172">
        <v>85</v>
      </c>
      <c r="H23" s="172">
        <v>95</v>
      </c>
      <c r="I23" s="172">
        <v>83</v>
      </c>
      <c r="J23" s="172">
        <v>79</v>
      </c>
      <c r="K23" s="172">
        <v>87</v>
      </c>
      <c r="L23" s="172">
        <v>137</v>
      </c>
      <c r="M23" s="172">
        <v>52</v>
      </c>
      <c r="N23" s="172">
        <f t="shared" si="0"/>
        <v>958</v>
      </c>
    </row>
    <row r="24" spans="1:14">
      <c r="A24" s="139" t="s">
        <v>23</v>
      </c>
      <c r="B24" s="172">
        <v>163</v>
      </c>
      <c r="C24" s="172">
        <v>176</v>
      </c>
      <c r="D24" s="172">
        <v>162</v>
      </c>
      <c r="E24" s="172">
        <v>201</v>
      </c>
      <c r="F24" s="172">
        <v>264.7</v>
      </c>
      <c r="G24" s="172">
        <v>237.3</v>
      </c>
      <c r="H24" s="172">
        <v>274</v>
      </c>
      <c r="I24" s="172">
        <v>256</v>
      </c>
      <c r="J24" s="172">
        <v>180</v>
      </c>
      <c r="K24" s="172">
        <v>190</v>
      </c>
      <c r="L24" s="172">
        <v>242</v>
      </c>
      <c r="M24" s="172">
        <v>186</v>
      </c>
      <c r="N24" s="172">
        <f t="shared" si="0"/>
        <v>2532</v>
      </c>
    </row>
    <row r="25" spans="1:14" ht="15.75" thickBot="1">
      <c r="A25" s="140" t="s">
        <v>45</v>
      </c>
      <c r="B25" s="290">
        <f t="shared" ref="B25:M25" si="1">SUM(B4:B24)</f>
        <v>6364</v>
      </c>
      <c r="C25" s="290">
        <f t="shared" si="1"/>
        <v>5998</v>
      </c>
      <c r="D25" s="290">
        <f>SUM(D4:D24)</f>
        <v>6925</v>
      </c>
      <c r="E25" s="290">
        <f t="shared" si="1"/>
        <v>5933</v>
      </c>
      <c r="F25" s="290">
        <f t="shared" si="1"/>
        <v>3398.7399999999993</v>
      </c>
      <c r="G25" s="290">
        <f t="shared" si="1"/>
        <v>8170.48</v>
      </c>
      <c r="H25" s="290">
        <f t="shared" si="1"/>
        <v>9075.76</v>
      </c>
      <c r="I25" s="290">
        <f t="shared" si="1"/>
        <v>7355</v>
      </c>
      <c r="J25" s="290">
        <f t="shared" si="1"/>
        <v>8419</v>
      </c>
      <c r="K25" s="290">
        <f t="shared" si="1"/>
        <v>7128</v>
      </c>
      <c r="L25" s="290">
        <f t="shared" si="1"/>
        <v>10958</v>
      </c>
      <c r="M25" s="290">
        <f t="shared" si="1"/>
        <v>6533</v>
      </c>
      <c r="N25" s="290">
        <f t="shared" si="0"/>
        <v>86257.98000000001</v>
      </c>
    </row>
    <row r="26" spans="1:14">
      <c r="A26" s="126"/>
      <c r="B26" s="226"/>
      <c r="C26" s="226"/>
      <c r="D26" s="226"/>
      <c r="E26" s="226"/>
      <c r="F26" s="226"/>
      <c r="G26" s="226"/>
      <c r="H26" s="226"/>
      <c r="I26" s="226"/>
      <c r="J26" s="226"/>
      <c r="K26" s="226"/>
      <c r="L26" s="226"/>
      <c r="M26" s="226"/>
      <c r="N26" s="226"/>
    </row>
    <row r="27" spans="1:14">
      <c r="A27" s="6" t="s">
        <v>8</v>
      </c>
      <c r="B27" s="226"/>
      <c r="C27" s="226"/>
      <c r="D27" s="226"/>
      <c r="E27" s="226"/>
      <c r="F27" s="226"/>
      <c r="G27" s="226"/>
      <c r="H27" s="226"/>
      <c r="I27" s="226"/>
      <c r="J27" s="226"/>
      <c r="K27" s="226"/>
      <c r="L27" s="226"/>
      <c r="M27" s="226"/>
      <c r="N27" s="226"/>
    </row>
    <row r="28" spans="1:14">
      <c r="A28" s="376" t="s">
        <v>105</v>
      </c>
      <c r="B28" s="377">
        <v>0</v>
      </c>
      <c r="C28" s="377">
        <v>0</v>
      </c>
      <c r="D28" s="377">
        <v>0</v>
      </c>
      <c r="E28" s="377">
        <v>0</v>
      </c>
      <c r="F28" s="377">
        <v>0</v>
      </c>
      <c r="G28" s="377">
        <v>0</v>
      </c>
      <c r="H28" s="377">
        <v>0</v>
      </c>
      <c r="I28" s="377">
        <v>0</v>
      </c>
      <c r="J28" s="172">
        <v>0</v>
      </c>
      <c r="K28" s="172">
        <v>0</v>
      </c>
      <c r="L28" s="172">
        <v>0</v>
      </c>
      <c r="M28" s="172">
        <v>0</v>
      </c>
      <c r="N28" s="172">
        <f>SUM(B28:M28)</f>
        <v>0</v>
      </c>
    </row>
    <row r="29" spans="1:14">
      <c r="A29" s="376" t="s">
        <v>85</v>
      </c>
      <c r="B29" s="172">
        <v>1</v>
      </c>
      <c r="C29" s="172">
        <v>3</v>
      </c>
      <c r="D29" s="172">
        <v>2</v>
      </c>
      <c r="E29" s="172">
        <v>4</v>
      </c>
      <c r="F29" s="172">
        <v>4</v>
      </c>
      <c r="G29" s="172">
        <v>2</v>
      </c>
      <c r="H29" s="172">
        <v>4</v>
      </c>
      <c r="I29" s="172">
        <v>11</v>
      </c>
      <c r="J29" s="172">
        <v>10</v>
      </c>
      <c r="K29" s="172">
        <v>3</v>
      </c>
      <c r="L29" s="172">
        <v>4</v>
      </c>
      <c r="M29" s="172">
        <v>3</v>
      </c>
      <c r="N29" s="172">
        <f>SUM(B29:M29)</f>
        <v>51</v>
      </c>
    </row>
    <row r="30" spans="1:14">
      <c r="A30" s="376" t="s">
        <v>106</v>
      </c>
      <c r="B30" s="172">
        <v>1</v>
      </c>
      <c r="C30" s="172">
        <v>2</v>
      </c>
      <c r="D30" s="172">
        <v>3</v>
      </c>
      <c r="E30" s="172">
        <v>3</v>
      </c>
      <c r="F30" s="172">
        <v>2</v>
      </c>
      <c r="G30" s="172">
        <v>3</v>
      </c>
      <c r="H30" s="172">
        <v>2</v>
      </c>
      <c r="I30" s="172">
        <v>1</v>
      </c>
      <c r="J30" s="172">
        <v>3</v>
      </c>
      <c r="K30" s="172">
        <v>4</v>
      </c>
      <c r="L30" s="172">
        <v>3</v>
      </c>
      <c r="M30" s="172">
        <v>3</v>
      </c>
      <c r="N30" s="172">
        <f t="shared" ref="N30:N38" si="2">SUM(B30:M30)</f>
        <v>30</v>
      </c>
    </row>
    <row r="31" spans="1:14">
      <c r="A31" s="376" t="s">
        <v>107</v>
      </c>
      <c r="B31" s="172">
        <v>111</v>
      </c>
      <c r="C31" s="172">
        <v>125</v>
      </c>
      <c r="D31" s="172">
        <v>112</v>
      </c>
      <c r="E31" s="172">
        <v>122</v>
      </c>
      <c r="F31" s="172">
        <v>153</v>
      </c>
      <c r="G31" s="172">
        <v>103</v>
      </c>
      <c r="H31" s="172">
        <v>97</v>
      </c>
      <c r="I31" s="172">
        <v>106</v>
      </c>
      <c r="J31" s="172">
        <v>180</v>
      </c>
      <c r="K31" s="172">
        <v>89</v>
      </c>
      <c r="L31" s="172">
        <v>84</v>
      </c>
      <c r="M31" s="172">
        <v>96</v>
      </c>
      <c r="N31" s="172">
        <f t="shared" si="2"/>
        <v>1378</v>
      </c>
    </row>
    <row r="32" spans="1:14">
      <c r="A32" s="376" t="s">
        <v>108</v>
      </c>
      <c r="B32" s="172">
        <v>71</v>
      </c>
      <c r="C32" s="172">
        <v>144</v>
      </c>
      <c r="D32" s="172">
        <v>105</v>
      </c>
      <c r="E32" s="172">
        <v>119</v>
      </c>
      <c r="F32" s="172">
        <v>54</v>
      </c>
      <c r="G32" s="172">
        <v>39</v>
      </c>
      <c r="H32" s="172">
        <v>150</v>
      </c>
      <c r="I32" s="172">
        <v>230</v>
      </c>
      <c r="J32" s="172">
        <v>334</v>
      </c>
      <c r="K32" s="172">
        <v>455</v>
      </c>
      <c r="L32" s="172">
        <v>420</v>
      </c>
      <c r="M32" s="172">
        <v>314</v>
      </c>
      <c r="N32" s="172">
        <f t="shared" si="2"/>
        <v>2435</v>
      </c>
    </row>
    <row r="33" spans="1:14">
      <c r="A33" s="376" t="s">
        <v>87</v>
      </c>
      <c r="B33" s="172">
        <v>9</v>
      </c>
      <c r="C33" s="172">
        <v>18</v>
      </c>
      <c r="D33" s="172">
        <v>8</v>
      </c>
      <c r="E33" s="172">
        <v>8</v>
      </c>
      <c r="F33" s="172">
        <v>4</v>
      </c>
      <c r="G33" s="172">
        <v>5</v>
      </c>
      <c r="H33" s="172">
        <v>4</v>
      </c>
      <c r="I33" s="172">
        <v>10</v>
      </c>
      <c r="J33" s="172">
        <v>15</v>
      </c>
      <c r="K33" s="172">
        <v>15</v>
      </c>
      <c r="L33" s="172">
        <v>20</v>
      </c>
      <c r="M33" s="172">
        <v>68</v>
      </c>
      <c r="N33" s="172">
        <f t="shared" si="2"/>
        <v>184</v>
      </c>
    </row>
    <row r="34" spans="1:14">
      <c r="A34" s="376" t="s">
        <v>88</v>
      </c>
      <c r="B34" s="172">
        <v>3</v>
      </c>
      <c r="C34" s="172">
        <v>6</v>
      </c>
      <c r="D34" s="172">
        <v>8</v>
      </c>
      <c r="E34" s="172">
        <v>8</v>
      </c>
      <c r="F34" s="172">
        <v>1</v>
      </c>
      <c r="G34" s="172">
        <v>0</v>
      </c>
      <c r="H34" s="172">
        <v>0</v>
      </c>
      <c r="I34" s="172">
        <v>0</v>
      </c>
      <c r="J34" s="172">
        <v>4</v>
      </c>
      <c r="K34" s="172">
        <v>5</v>
      </c>
      <c r="L34" s="172">
        <v>5</v>
      </c>
      <c r="M34" s="172">
        <v>4</v>
      </c>
      <c r="N34" s="172">
        <f t="shared" si="2"/>
        <v>44</v>
      </c>
    </row>
    <row r="35" spans="1:14">
      <c r="A35" s="376" t="s">
        <v>109</v>
      </c>
      <c r="B35" s="172">
        <v>1</v>
      </c>
      <c r="C35" s="172">
        <v>3</v>
      </c>
      <c r="D35" s="172">
        <v>1</v>
      </c>
      <c r="E35" s="172">
        <v>3</v>
      </c>
      <c r="F35" s="172">
        <v>0</v>
      </c>
      <c r="G35" s="172">
        <v>0</v>
      </c>
      <c r="H35" s="172">
        <v>0</v>
      </c>
      <c r="I35" s="172">
        <v>1</v>
      </c>
      <c r="J35" s="172">
        <v>2</v>
      </c>
      <c r="K35" s="172">
        <v>3</v>
      </c>
      <c r="L35" s="172">
        <v>2</v>
      </c>
      <c r="M35" s="172">
        <v>2</v>
      </c>
      <c r="N35" s="172">
        <f t="shared" si="2"/>
        <v>18</v>
      </c>
    </row>
    <row r="36" spans="1:14">
      <c r="A36" s="374" t="s">
        <v>148</v>
      </c>
      <c r="B36" s="172">
        <v>4</v>
      </c>
      <c r="C36" s="172">
        <v>9</v>
      </c>
      <c r="D36" s="172">
        <v>3</v>
      </c>
      <c r="E36" s="172">
        <v>7</v>
      </c>
      <c r="F36" s="172">
        <v>2</v>
      </c>
      <c r="G36" s="172">
        <v>7</v>
      </c>
      <c r="H36" s="172">
        <v>1</v>
      </c>
      <c r="I36" s="172">
        <v>13</v>
      </c>
      <c r="J36" s="172">
        <v>0</v>
      </c>
      <c r="K36" s="172">
        <v>4</v>
      </c>
      <c r="L36" s="172"/>
      <c r="M36" s="172">
        <v>20</v>
      </c>
      <c r="N36" s="172">
        <f t="shared" si="2"/>
        <v>70</v>
      </c>
    </row>
    <row r="37" spans="1:14">
      <c r="A37" s="374" t="s">
        <v>154</v>
      </c>
      <c r="B37" s="172" t="s">
        <v>42</v>
      </c>
      <c r="C37" s="172" t="s">
        <v>42</v>
      </c>
      <c r="D37" s="172" t="s">
        <v>42</v>
      </c>
      <c r="E37" s="172" t="s">
        <v>42</v>
      </c>
      <c r="F37" s="172" t="s">
        <v>42</v>
      </c>
      <c r="G37" s="172" t="s">
        <v>42</v>
      </c>
      <c r="H37" s="172">
        <v>0</v>
      </c>
      <c r="I37" s="172">
        <v>0</v>
      </c>
      <c r="J37" s="172">
        <v>0</v>
      </c>
      <c r="K37" s="172">
        <v>0</v>
      </c>
      <c r="L37" s="172">
        <v>0</v>
      </c>
      <c r="M37" s="172">
        <v>0</v>
      </c>
      <c r="N37" s="172"/>
    </row>
    <row r="38" spans="1:14" ht="15.75" thickBot="1">
      <c r="A38" s="375" t="s">
        <v>46</v>
      </c>
      <c r="B38" s="244">
        <f t="shared" ref="B38:G38" si="3">SUM(B29:B36)</f>
        <v>201</v>
      </c>
      <c r="C38" s="244">
        <f t="shared" si="3"/>
        <v>310</v>
      </c>
      <c r="D38" s="244">
        <f t="shared" si="3"/>
        <v>242</v>
      </c>
      <c r="E38" s="244">
        <f t="shared" si="3"/>
        <v>274</v>
      </c>
      <c r="F38" s="244">
        <f t="shared" si="3"/>
        <v>220</v>
      </c>
      <c r="G38" s="244">
        <f t="shared" si="3"/>
        <v>159</v>
      </c>
      <c r="H38" s="244">
        <f>SUM(H29:H37)</f>
        <v>258</v>
      </c>
      <c r="I38" s="244">
        <f>SUM(I29:I36)</f>
        <v>372</v>
      </c>
      <c r="J38" s="244">
        <f>SUM(J28:J37)</f>
        <v>548</v>
      </c>
      <c r="K38" s="244">
        <f>SUM(K28:K37)</f>
        <v>578</v>
      </c>
      <c r="L38" s="244">
        <f>SUM(L28:L37)</f>
        <v>538</v>
      </c>
      <c r="M38" s="244">
        <f t="shared" ref="M38" si="4">SUM(M28:M36)</f>
        <v>510</v>
      </c>
      <c r="N38" s="245">
        <f t="shared" si="2"/>
        <v>4210</v>
      </c>
    </row>
    <row r="39" spans="1:14" ht="15.75" thickBot="1">
      <c r="A39" s="126"/>
      <c r="B39" s="226"/>
      <c r="C39" s="226"/>
      <c r="D39" s="226"/>
      <c r="E39" s="226"/>
      <c r="F39" s="226"/>
      <c r="G39" s="226"/>
      <c r="H39" s="226"/>
      <c r="I39" s="226"/>
      <c r="J39" s="226"/>
      <c r="K39" s="226"/>
      <c r="L39" s="226"/>
      <c r="M39" s="226"/>
      <c r="N39" s="226"/>
    </row>
    <row r="40" spans="1:14" ht="15.75" thickBot="1">
      <c r="A40" s="152" t="s">
        <v>20</v>
      </c>
      <c r="B40" s="266">
        <f>0.8+1+0+0+120</f>
        <v>121.8</v>
      </c>
      <c r="C40" s="266">
        <f>13+0</f>
        <v>13</v>
      </c>
      <c r="D40" s="266">
        <f>60+280</f>
        <v>340</v>
      </c>
      <c r="E40" s="266">
        <f>0+18.9+0.5</f>
        <v>19.399999999999999</v>
      </c>
      <c r="F40" s="266">
        <f>220+0.5+0+0+18.3</f>
        <v>238.8</v>
      </c>
      <c r="G40" s="266"/>
      <c r="H40" s="266">
        <f>70</f>
        <v>70</v>
      </c>
      <c r="I40" s="266">
        <f>2.7+0</f>
        <v>2.7</v>
      </c>
      <c r="J40" s="266">
        <f>285</f>
        <v>285</v>
      </c>
      <c r="K40" s="266"/>
      <c r="L40" s="266">
        <f>258+3+0.3+1.7</f>
        <v>263</v>
      </c>
      <c r="M40" s="266"/>
      <c r="N40" s="267">
        <f>SUM(B40:M40)</f>
        <v>1353.7</v>
      </c>
    </row>
    <row r="41" spans="1:14" ht="15.75" thickBot="1">
      <c r="A41" s="269"/>
      <c r="B41" s="268"/>
      <c r="C41" s="268"/>
      <c r="D41" s="268"/>
      <c r="E41" s="268"/>
      <c r="F41" s="268"/>
      <c r="G41" s="268"/>
      <c r="H41" s="268"/>
      <c r="I41" s="268"/>
      <c r="J41" s="268"/>
      <c r="K41" s="268"/>
      <c r="L41" s="268"/>
      <c r="M41" s="268"/>
      <c r="N41" s="268"/>
    </row>
    <row r="42" spans="1:14" ht="15.75" thickBot="1">
      <c r="A42" s="151" t="s">
        <v>67</v>
      </c>
      <c r="B42" s="246">
        <f t="shared" ref="B42:N42" si="5">B25+B38+B40</f>
        <v>6686.8</v>
      </c>
      <c r="C42" s="246">
        <f t="shared" si="5"/>
        <v>6321</v>
      </c>
      <c r="D42" s="246">
        <f t="shared" si="5"/>
        <v>7507</v>
      </c>
      <c r="E42" s="246">
        <f t="shared" si="5"/>
        <v>6226.4</v>
      </c>
      <c r="F42" s="246">
        <f t="shared" si="5"/>
        <v>3857.5399999999995</v>
      </c>
      <c r="G42" s="246">
        <f t="shared" si="5"/>
        <v>8329.48</v>
      </c>
      <c r="H42" s="246">
        <f t="shared" si="5"/>
        <v>9403.76</v>
      </c>
      <c r="I42" s="246">
        <f t="shared" si="5"/>
        <v>7729.7</v>
      </c>
      <c r="J42" s="246">
        <f t="shared" si="5"/>
        <v>9252</v>
      </c>
      <c r="K42" s="246">
        <f t="shared" si="5"/>
        <v>7706</v>
      </c>
      <c r="L42" s="246">
        <f t="shared" si="5"/>
        <v>11759</v>
      </c>
      <c r="M42" s="246">
        <f t="shared" si="5"/>
        <v>7043</v>
      </c>
      <c r="N42" s="247">
        <f t="shared" si="5"/>
        <v>91821.680000000008</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N3"/>
  <sheetViews>
    <sheetView showGridLines="0" workbookViewId="0">
      <selection sqref="A1:XFD1048576"/>
    </sheetView>
  </sheetViews>
  <sheetFormatPr defaultColWidth="8.85546875" defaultRowHeight="15"/>
  <cols>
    <col min="1" max="1" width="25.85546875" style="17" customWidth="1"/>
    <col min="2" max="13" width="8.85546875" style="17"/>
    <col min="14" max="14" width="13.7109375" style="17" customWidth="1"/>
    <col min="15" max="16384" width="8.85546875" style="17"/>
  </cols>
  <sheetData>
    <row r="1" spans="1:14">
      <c r="A1" s="270" t="s">
        <v>36</v>
      </c>
      <c r="B1" s="271">
        <v>39083</v>
      </c>
      <c r="C1" s="271">
        <v>39114</v>
      </c>
      <c r="D1" s="271">
        <v>39142</v>
      </c>
      <c r="E1" s="271">
        <v>39173</v>
      </c>
      <c r="F1" s="271">
        <v>39203</v>
      </c>
      <c r="G1" s="271">
        <v>39234</v>
      </c>
      <c r="H1" s="271">
        <v>39264</v>
      </c>
      <c r="I1" s="271">
        <v>39295</v>
      </c>
      <c r="J1" s="271">
        <v>39326</v>
      </c>
      <c r="K1" s="271">
        <v>39356</v>
      </c>
      <c r="L1" s="271">
        <v>39387</v>
      </c>
      <c r="M1" s="271">
        <v>39417</v>
      </c>
      <c r="N1" s="272" t="s">
        <v>37</v>
      </c>
    </row>
    <row r="2" spans="1:14" ht="30.75" thickBot="1">
      <c r="A2" s="273" t="s">
        <v>38</v>
      </c>
      <c r="B2" s="260">
        <f>356.2+580.2</f>
        <v>936.40000000000009</v>
      </c>
      <c r="C2" s="260">
        <f>575.8+614.9</f>
        <v>1190.6999999999998</v>
      </c>
      <c r="D2" s="260">
        <v>448</v>
      </c>
      <c r="E2" s="260">
        <f>233.3+412.2</f>
        <v>645.5</v>
      </c>
      <c r="F2" s="260"/>
      <c r="G2" s="260"/>
      <c r="H2" s="260"/>
      <c r="I2" s="260"/>
      <c r="J2" s="260"/>
      <c r="K2" s="260"/>
      <c r="L2" s="260">
        <f>91.8+218+39.3</f>
        <v>349.1</v>
      </c>
      <c r="M2" s="260">
        <f>497.4+498.4</f>
        <v>995.8</v>
      </c>
      <c r="N2" s="261">
        <f>SUM(B2:M2)</f>
        <v>4565.5</v>
      </c>
    </row>
    <row r="3" spans="1:14" ht="16.5" thickTop="1" thickBot="1">
      <c r="A3" s="274" t="s">
        <v>45</v>
      </c>
      <c r="B3" s="275">
        <f t="shared" ref="B3:N3" si="0">SUM(B2:B2)</f>
        <v>936.40000000000009</v>
      </c>
      <c r="C3" s="275">
        <f t="shared" si="0"/>
        <v>1190.6999999999998</v>
      </c>
      <c r="D3" s="275">
        <f t="shared" si="0"/>
        <v>448</v>
      </c>
      <c r="E3" s="275">
        <f t="shared" si="0"/>
        <v>645.5</v>
      </c>
      <c r="F3" s="275">
        <f t="shared" si="0"/>
        <v>0</v>
      </c>
      <c r="G3" s="275">
        <f t="shared" si="0"/>
        <v>0</v>
      </c>
      <c r="H3" s="275">
        <f t="shared" si="0"/>
        <v>0</v>
      </c>
      <c r="I3" s="275">
        <f t="shared" si="0"/>
        <v>0</v>
      </c>
      <c r="J3" s="275">
        <f t="shared" si="0"/>
        <v>0</v>
      </c>
      <c r="K3" s="275">
        <f t="shared" si="0"/>
        <v>0</v>
      </c>
      <c r="L3" s="275">
        <f t="shared" si="0"/>
        <v>349.1</v>
      </c>
      <c r="M3" s="275">
        <f t="shared" si="0"/>
        <v>995.8</v>
      </c>
      <c r="N3" s="276">
        <f t="shared" si="0"/>
        <v>4565.5</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N3"/>
  <sheetViews>
    <sheetView showGridLines="0" workbookViewId="0">
      <selection sqref="A1:XFD1048576"/>
    </sheetView>
  </sheetViews>
  <sheetFormatPr defaultColWidth="8.85546875" defaultRowHeight="15"/>
  <cols>
    <col min="1" max="1" width="25.42578125" style="17" customWidth="1"/>
    <col min="2" max="13" width="8.85546875" style="17"/>
    <col min="14" max="14" width="12.28515625" style="17" customWidth="1"/>
    <col min="15" max="16384" width="8.85546875" style="17"/>
  </cols>
  <sheetData>
    <row r="1" spans="1:14">
      <c r="A1" s="277" t="s">
        <v>36</v>
      </c>
      <c r="B1" s="278">
        <v>39448</v>
      </c>
      <c r="C1" s="278">
        <v>39479</v>
      </c>
      <c r="D1" s="278">
        <v>39508</v>
      </c>
      <c r="E1" s="278">
        <v>39539</v>
      </c>
      <c r="F1" s="278">
        <v>39569</v>
      </c>
      <c r="G1" s="278">
        <v>39600</v>
      </c>
      <c r="H1" s="278">
        <v>39630</v>
      </c>
      <c r="I1" s="278">
        <v>39661</v>
      </c>
      <c r="J1" s="278">
        <v>39692</v>
      </c>
      <c r="K1" s="278">
        <v>39722</v>
      </c>
      <c r="L1" s="278">
        <v>39753</v>
      </c>
      <c r="M1" s="278">
        <v>39783</v>
      </c>
      <c r="N1" s="279" t="s">
        <v>37</v>
      </c>
    </row>
    <row r="2" spans="1:14" ht="30.75" thickBot="1">
      <c r="A2" s="146" t="s">
        <v>38</v>
      </c>
      <c r="B2" s="260">
        <f>373.5+480.7</f>
        <v>854.2</v>
      </c>
      <c r="C2" s="260">
        <f>555.4+443.8</f>
        <v>999.2</v>
      </c>
      <c r="D2" s="260">
        <f>637.7+340.4</f>
        <v>978.1</v>
      </c>
      <c r="E2" s="260">
        <f>516.7+56.9+236.5</f>
        <v>810.1</v>
      </c>
      <c r="F2" s="260">
        <f>150+127.3</f>
        <v>277.3</v>
      </c>
      <c r="G2" s="260"/>
      <c r="H2" s="260"/>
      <c r="I2" s="260">
        <v>5.7</v>
      </c>
      <c r="J2" s="260">
        <v>128.69999999999999</v>
      </c>
      <c r="K2" s="260">
        <f>210.3+316</f>
        <v>526.29999999999995</v>
      </c>
      <c r="L2" s="260">
        <v>436.2</v>
      </c>
      <c r="M2" s="260">
        <f>579.5+617.3+582.7</f>
        <v>1779.5</v>
      </c>
      <c r="N2" s="261">
        <f>SUM(B2:M2)</f>
        <v>6795.2999999999993</v>
      </c>
    </row>
    <row r="3" spans="1:14" ht="16.5" thickTop="1" thickBot="1">
      <c r="A3" s="280" t="s">
        <v>45</v>
      </c>
      <c r="B3" s="275">
        <f t="shared" ref="B3:N3" si="0">SUM(B2:B2)</f>
        <v>854.2</v>
      </c>
      <c r="C3" s="275">
        <f t="shared" si="0"/>
        <v>999.2</v>
      </c>
      <c r="D3" s="275">
        <f t="shared" si="0"/>
        <v>978.1</v>
      </c>
      <c r="E3" s="275">
        <f t="shared" si="0"/>
        <v>810.1</v>
      </c>
      <c r="F3" s="275">
        <f t="shared" si="0"/>
        <v>277.3</v>
      </c>
      <c r="G3" s="275">
        <f t="shared" si="0"/>
        <v>0</v>
      </c>
      <c r="H3" s="275">
        <f t="shared" si="0"/>
        <v>0</v>
      </c>
      <c r="I3" s="275">
        <f t="shared" si="0"/>
        <v>5.7</v>
      </c>
      <c r="J3" s="275">
        <f t="shared" si="0"/>
        <v>128.69999999999999</v>
      </c>
      <c r="K3" s="275">
        <f t="shared" si="0"/>
        <v>526.29999999999995</v>
      </c>
      <c r="L3" s="275">
        <f t="shared" si="0"/>
        <v>436.2</v>
      </c>
      <c r="M3" s="275">
        <f t="shared" si="0"/>
        <v>1779.5</v>
      </c>
      <c r="N3" s="276">
        <f t="shared" si="0"/>
        <v>6795.2999999999993</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3"/>
  <sheetViews>
    <sheetView showGridLines="0" workbookViewId="0">
      <selection sqref="A1:XFD1"/>
    </sheetView>
  </sheetViews>
  <sheetFormatPr defaultColWidth="8.85546875" defaultRowHeight="15"/>
  <cols>
    <col min="1" max="1" width="25.28515625" style="17" customWidth="1"/>
    <col min="2" max="13" width="8.85546875" style="17"/>
    <col min="14" max="14" width="11.85546875" style="17" customWidth="1"/>
    <col min="15" max="16384" width="8.85546875" style="17"/>
  </cols>
  <sheetData>
    <row r="1" spans="1:14" ht="15.75" customHeight="1">
      <c r="A1" s="277" t="s">
        <v>36</v>
      </c>
      <c r="B1" s="278">
        <v>39814</v>
      </c>
      <c r="C1" s="278">
        <v>39845</v>
      </c>
      <c r="D1" s="278">
        <v>39873</v>
      </c>
      <c r="E1" s="278">
        <v>39904</v>
      </c>
      <c r="F1" s="278">
        <v>39934</v>
      </c>
      <c r="G1" s="278">
        <v>39965</v>
      </c>
      <c r="H1" s="278">
        <v>39995</v>
      </c>
      <c r="I1" s="278">
        <v>40026</v>
      </c>
      <c r="J1" s="278">
        <v>40057</v>
      </c>
      <c r="K1" s="278">
        <v>40087</v>
      </c>
      <c r="L1" s="278">
        <v>40118</v>
      </c>
      <c r="M1" s="278">
        <v>40148</v>
      </c>
      <c r="N1" s="279" t="s">
        <v>37</v>
      </c>
    </row>
    <row r="2" spans="1:14" ht="30.75" thickBot="1">
      <c r="A2" s="146" t="s">
        <v>38</v>
      </c>
      <c r="B2" s="260">
        <f>571.6+274</f>
        <v>845.6</v>
      </c>
      <c r="C2" s="260"/>
      <c r="D2" s="260">
        <f>599.4+468.8+272.4</f>
        <v>1340.6</v>
      </c>
      <c r="E2" s="260">
        <f>239.7+253.5</f>
        <v>493.2</v>
      </c>
      <c r="F2" s="260">
        <f>69.6+72.9</f>
        <v>142.5</v>
      </c>
      <c r="G2" s="260"/>
      <c r="H2" s="260"/>
      <c r="I2" s="260"/>
      <c r="J2" s="260">
        <v>44.9</v>
      </c>
      <c r="K2" s="260">
        <v>138.30000000000001</v>
      </c>
      <c r="L2" s="260">
        <f>167.7+105.6</f>
        <v>273.29999999999995</v>
      </c>
      <c r="M2" s="260">
        <f>491.5+533.5</f>
        <v>1025</v>
      </c>
      <c r="N2" s="261">
        <f>SUM(B2:M2)</f>
        <v>4303.3999999999996</v>
      </c>
    </row>
    <row r="3" spans="1:14" ht="16.5" thickTop="1" thickBot="1">
      <c r="A3" s="280" t="s">
        <v>45</v>
      </c>
      <c r="B3" s="275">
        <f t="shared" ref="B3:N3" si="0">SUM(B2:B2)</f>
        <v>845.6</v>
      </c>
      <c r="C3" s="275">
        <f t="shared" si="0"/>
        <v>0</v>
      </c>
      <c r="D3" s="275">
        <f t="shared" si="0"/>
        <v>1340.6</v>
      </c>
      <c r="E3" s="275">
        <f t="shared" si="0"/>
        <v>493.2</v>
      </c>
      <c r="F3" s="275">
        <f t="shared" si="0"/>
        <v>142.5</v>
      </c>
      <c r="G3" s="275">
        <f t="shared" si="0"/>
        <v>0</v>
      </c>
      <c r="H3" s="275">
        <f t="shared" si="0"/>
        <v>0</v>
      </c>
      <c r="I3" s="275">
        <f t="shared" si="0"/>
        <v>0</v>
      </c>
      <c r="J3" s="275">
        <f t="shared" si="0"/>
        <v>44.9</v>
      </c>
      <c r="K3" s="275">
        <f t="shared" si="0"/>
        <v>138.30000000000001</v>
      </c>
      <c r="L3" s="275">
        <f t="shared" si="0"/>
        <v>273.29999999999995</v>
      </c>
      <c r="M3" s="275">
        <f t="shared" si="0"/>
        <v>1025</v>
      </c>
      <c r="N3" s="276">
        <f t="shared" si="0"/>
        <v>4303.3999999999996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N3"/>
  <sheetViews>
    <sheetView showGridLines="0" workbookViewId="0">
      <selection activeCell="N1" sqref="N1"/>
    </sheetView>
  </sheetViews>
  <sheetFormatPr defaultColWidth="8.85546875" defaultRowHeight="15"/>
  <cols>
    <col min="1" max="1" width="24.28515625" style="17" customWidth="1"/>
    <col min="2" max="13" width="8.85546875" style="17"/>
    <col min="14" max="14" width="13" style="17" customWidth="1"/>
    <col min="15" max="16384" width="8.85546875" style="17"/>
  </cols>
  <sheetData>
    <row r="1" spans="1:14">
      <c r="A1" s="277" t="s">
        <v>36</v>
      </c>
      <c r="B1" s="278">
        <v>40179</v>
      </c>
      <c r="C1" s="278">
        <v>40210</v>
      </c>
      <c r="D1" s="278">
        <v>40238</v>
      </c>
      <c r="E1" s="278">
        <v>40269</v>
      </c>
      <c r="F1" s="278">
        <v>40299</v>
      </c>
      <c r="G1" s="278">
        <v>40330</v>
      </c>
      <c r="H1" s="278">
        <v>40360</v>
      </c>
      <c r="I1" s="278">
        <v>40391</v>
      </c>
      <c r="J1" s="278">
        <v>40422</v>
      </c>
      <c r="K1" s="278">
        <v>40452</v>
      </c>
      <c r="L1" s="278">
        <v>40483</v>
      </c>
      <c r="M1" s="278">
        <v>40513</v>
      </c>
      <c r="N1" s="279" t="s">
        <v>37</v>
      </c>
    </row>
    <row r="2" spans="1:14" ht="30.75" thickBot="1">
      <c r="A2" s="146" t="s">
        <v>38</v>
      </c>
      <c r="B2" s="260">
        <f>567+807.2+495</f>
        <v>1869.2</v>
      </c>
      <c r="C2" s="260">
        <f>508.5+495.2+806.4</f>
        <v>1810.1</v>
      </c>
      <c r="D2" s="260">
        <f>355+360</f>
        <v>715</v>
      </c>
      <c r="E2" s="260">
        <f>154.4+256+263</f>
        <v>673.4</v>
      </c>
      <c r="F2" s="260">
        <f>135.6</f>
        <v>135.6</v>
      </c>
      <c r="G2" s="260"/>
      <c r="H2" s="260"/>
      <c r="I2" s="260"/>
      <c r="J2" s="260"/>
      <c r="K2" s="260">
        <f>264.6+61.5+90.1</f>
        <v>416.20000000000005</v>
      </c>
      <c r="L2" s="260">
        <v>253.6</v>
      </c>
      <c r="M2" s="260">
        <f>440.4+518.7+387.8+409.1</f>
        <v>1756</v>
      </c>
      <c r="N2" s="261">
        <f>SUM(B2:M2)</f>
        <v>7629.1</v>
      </c>
    </row>
    <row r="3" spans="1:14" ht="16.5" thickTop="1" thickBot="1">
      <c r="A3" s="280" t="s">
        <v>45</v>
      </c>
      <c r="B3" s="275">
        <f t="shared" ref="B3:N3" si="0">SUM(B2:B2)</f>
        <v>1869.2</v>
      </c>
      <c r="C3" s="275">
        <f t="shared" si="0"/>
        <v>1810.1</v>
      </c>
      <c r="D3" s="275">
        <f t="shared" si="0"/>
        <v>715</v>
      </c>
      <c r="E3" s="275">
        <f t="shared" si="0"/>
        <v>673.4</v>
      </c>
      <c r="F3" s="275">
        <f t="shared" si="0"/>
        <v>135.6</v>
      </c>
      <c r="G3" s="275">
        <f t="shared" si="0"/>
        <v>0</v>
      </c>
      <c r="H3" s="275">
        <f t="shared" si="0"/>
        <v>0</v>
      </c>
      <c r="I3" s="275">
        <f t="shared" si="0"/>
        <v>0</v>
      </c>
      <c r="J3" s="275">
        <f t="shared" si="0"/>
        <v>0</v>
      </c>
      <c r="K3" s="275">
        <f t="shared" si="0"/>
        <v>416.20000000000005</v>
      </c>
      <c r="L3" s="275">
        <f t="shared" si="0"/>
        <v>253.6</v>
      </c>
      <c r="M3" s="275">
        <f t="shared" si="0"/>
        <v>1756</v>
      </c>
      <c r="N3" s="276">
        <f t="shared" si="0"/>
        <v>7629.1</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N4"/>
  <sheetViews>
    <sheetView showGridLines="0" workbookViewId="0">
      <selection activeCell="K2" sqref="K2"/>
    </sheetView>
  </sheetViews>
  <sheetFormatPr defaultColWidth="8.85546875" defaultRowHeight="15"/>
  <cols>
    <col min="1" max="1" width="28.42578125" style="17" customWidth="1"/>
    <col min="2" max="13" width="8.85546875" style="17"/>
    <col min="14" max="14" width="13.7109375" style="17" customWidth="1"/>
    <col min="15" max="16384" width="8.85546875" style="17"/>
  </cols>
  <sheetData>
    <row r="1" spans="1:14">
      <c r="A1" s="277" t="s">
        <v>36</v>
      </c>
      <c r="B1" s="278">
        <v>40544</v>
      </c>
      <c r="C1" s="278">
        <v>40575</v>
      </c>
      <c r="D1" s="278">
        <v>40603</v>
      </c>
      <c r="E1" s="278">
        <v>40634</v>
      </c>
      <c r="F1" s="278">
        <v>40664</v>
      </c>
      <c r="G1" s="278">
        <v>40695</v>
      </c>
      <c r="H1" s="278">
        <v>40725</v>
      </c>
      <c r="I1" s="278">
        <v>40756</v>
      </c>
      <c r="J1" s="278">
        <v>40787</v>
      </c>
      <c r="K1" s="278">
        <v>40817</v>
      </c>
      <c r="L1" s="278">
        <v>40848</v>
      </c>
      <c r="M1" s="278">
        <v>40878</v>
      </c>
      <c r="N1" s="279" t="s">
        <v>37</v>
      </c>
    </row>
    <row r="2" spans="1:14" ht="30">
      <c r="A2" s="146" t="s">
        <v>38</v>
      </c>
      <c r="B2" s="281">
        <f>478.6+632.9</f>
        <v>1111.5</v>
      </c>
      <c r="C2" s="281">
        <v>667.9</v>
      </c>
      <c r="D2" s="281">
        <v>369.6</v>
      </c>
      <c r="E2" s="281">
        <v>259.60000000000002</v>
      </c>
      <c r="F2" s="281"/>
      <c r="G2" s="281"/>
      <c r="H2" s="281"/>
      <c r="I2" s="281"/>
      <c r="J2" s="281"/>
      <c r="K2" s="281"/>
      <c r="L2" s="281">
        <v>367.6</v>
      </c>
      <c r="M2" s="281">
        <v>437.9</v>
      </c>
      <c r="N2" s="282">
        <f>SUM(B2:M2)</f>
        <v>3214.1</v>
      </c>
    </row>
    <row r="3" spans="1:14" ht="15.75" thickBot="1">
      <c r="A3" s="146" t="s">
        <v>39</v>
      </c>
      <c r="B3" s="260">
        <v>336.5</v>
      </c>
      <c r="C3" s="260"/>
      <c r="D3" s="260"/>
      <c r="E3" s="260"/>
      <c r="F3" s="260"/>
      <c r="G3" s="260"/>
      <c r="H3" s="260"/>
      <c r="I3" s="260"/>
      <c r="J3" s="260"/>
      <c r="K3" s="260">
        <v>354.2</v>
      </c>
      <c r="L3" s="260"/>
      <c r="M3" s="260">
        <v>444.8</v>
      </c>
      <c r="N3" s="261">
        <f>SUM(B3:M3)</f>
        <v>1135.5</v>
      </c>
    </row>
    <row r="4" spans="1:14" ht="16.5" thickTop="1" thickBot="1">
      <c r="A4" s="280" t="s">
        <v>45</v>
      </c>
      <c r="B4" s="275">
        <f>SUM(B2:B3)</f>
        <v>1448</v>
      </c>
      <c r="C4" s="275">
        <f t="shared" ref="C4:N4" si="0">SUM(C2:C3)</f>
        <v>667.9</v>
      </c>
      <c r="D4" s="275">
        <f t="shared" si="0"/>
        <v>369.6</v>
      </c>
      <c r="E4" s="275">
        <f t="shared" si="0"/>
        <v>259.60000000000002</v>
      </c>
      <c r="F4" s="275">
        <f t="shared" si="0"/>
        <v>0</v>
      </c>
      <c r="G4" s="275">
        <f t="shared" si="0"/>
        <v>0</v>
      </c>
      <c r="H4" s="275">
        <f t="shared" si="0"/>
        <v>0</v>
      </c>
      <c r="I4" s="275">
        <f t="shared" si="0"/>
        <v>0</v>
      </c>
      <c r="J4" s="275">
        <f t="shared" si="0"/>
        <v>0</v>
      </c>
      <c r="K4" s="275">
        <f t="shared" si="0"/>
        <v>354.2</v>
      </c>
      <c r="L4" s="275">
        <f t="shared" si="0"/>
        <v>367.6</v>
      </c>
      <c r="M4" s="275">
        <f t="shared" si="0"/>
        <v>882.7</v>
      </c>
      <c r="N4" s="276">
        <f t="shared" si="0"/>
        <v>4349.6000000000004</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N4"/>
  <sheetViews>
    <sheetView showGridLines="0" workbookViewId="0">
      <selection activeCell="J10" sqref="J10"/>
    </sheetView>
  </sheetViews>
  <sheetFormatPr defaultColWidth="8.85546875" defaultRowHeight="15"/>
  <cols>
    <col min="1" max="1" width="24.7109375" style="17" customWidth="1"/>
    <col min="2" max="13" width="8.85546875" style="17"/>
    <col min="14" max="14" width="15" style="17" customWidth="1"/>
    <col min="15" max="16384" width="8.85546875" style="17"/>
  </cols>
  <sheetData>
    <row r="1" spans="1:14">
      <c r="A1" s="277" t="s">
        <v>36</v>
      </c>
      <c r="B1" s="278">
        <v>40909</v>
      </c>
      <c r="C1" s="278">
        <v>40940</v>
      </c>
      <c r="D1" s="278">
        <v>40969</v>
      </c>
      <c r="E1" s="278">
        <v>41000</v>
      </c>
      <c r="F1" s="278">
        <v>41030</v>
      </c>
      <c r="G1" s="278">
        <v>41061</v>
      </c>
      <c r="H1" s="278">
        <v>41091</v>
      </c>
      <c r="I1" s="278">
        <v>41122</v>
      </c>
      <c r="J1" s="278">
        <v>41153</v>
      </c>
      <c r="K1" s="278">
        <v>41183</v>
      </c>
      <c r="L1" s="278">
        <v>41214</v>
      </c>
      <c r="M1" s="278">
        <v>41244</v>
      </c>
      <c r="N1" s="279" t="s">
        <v>37</v>
      </c>
    </row>
    <row r="2" spans="1:14" ht="30">
      <c r="A2" s="146" t="s">
        <v>38</v>
      </c>
      <c r="B2" s="281">
        <f>484.7+449.6</f>
        <v>934.3</v>
      </c>
      <c r="C2" s="281">
        <v>446.5</v>
      </c>
      <c r="D2" s="281">
        <f>384.7+37.7+444.5</f>
        <v>866.9</v>
      </c>
      <c r="E2" s="281">
        <f>193.7+394.7</f>
        <v>588.4</v>
      </c>
      <c r="F2" s="281">
        <v>158.19999999999999</v>
      </c>
      <c r="G2" s="281">
        <v>62.2</v>
      </c>
      <c r="H2" s="281"/>
      <c r="I2" s="281"/>
      <c r="J2" s="281">
        <v>50.1</v>
      </c>
      <c r="K2" s="281"/>
      <c r="L2" s="281"/>
      <c r="M2" s="281">
        <f>206.8+388.4</f>
        <v>595.20000000000005</v>
      </c>
      <c r="N2" s="282">
        <f>SUM(B2:M2)</f>
        <v>3701.7999999999993</v>
      </c>
    </row>
    <row r="3" spans="1:14" ht="15.75" thickBot="1">
      <c r="A3" s="146" t="s">
        <v>39</v>
      </c>
      <c r="B3" s="260"/>
      <c r="C3" s="260">
        <v>513.1</v>
      </c>
      <c r="D3" s="260"/>
      <c r="E3" s="260"/>
      <c r="F3" s="260"/>
      <c r="G3" s="260"/>
      <c r="H3" s="260"/>
      <c r="I3" s="260"/>
      <c r="J3" s="260"/>
      <c r="K3" s="260"/>
      <c r="L3" s="260"/>
      <c r="M3" s="260">
        <v>358.1</v>
      </c>
      <c r="N3" s="261">
        <f>SUM(B3:M3)</f>
        <v>871.2</v>
      </c>
    </row>
    <row r="4" spans="1:14" ht="16.5" thickTop="1" thickBot="1">
      <c r="A4" s="280" t="s">
        <v>45</v>
      </c>
      <c r="B4" s="275">
        <f>SUM(B2:B3)</f>
        <v>934.3</v>
      </c>
      <c r="C4" s="275">
        <f t="shared" ref="C4:N4" si="0">SUM(C2:C3)</f>
        <v>959.6</v>
      </c>
      <c r="D4" s="275">
        <f t="shared" si="0"/>
        <v>866.9</v>
      </c>
      <c r="E4" s="275">
        <f t="shared" si="0"/>
        <v>588.4</v>
      </c>
      <c r="F4" s="275">
        <f t="shared" si="0"/>
        <v>158.19999999999999</v>
      </c>
      <c r="G4" s="275">
        <f t="shared" si="0"/>
        <v>62.2</v>
      </c>
      <c r="H4" s="275">
        <f t="shared" si="0"/>
        <v>0</v>
      </c>
      <c r="I4" s="275">
        <f t="shared" si="0"/>
        <v>0</v>
      </c>
      <c r="J4" s="275">
        <f t="shared" si="0"/>
        <v>50.1</v>
      </c>
      <c r="K4" s="275">
        <f t="shared" si="0"/>
        <v>0</v>
      </c>
      <c r="L4" s="275">
        <f t="shared" si="0"/>
        <v>0</v>
      </c>
      <c r="M4" s="275">
        <f t="shared" si="0"/>
        <v>953.30000000000007</v>
      </c>
      <c r="N4" s="276">
        <f t="shared" si="0"/>
        <v>4572.9999999999991</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4"/>
  <sheetViews>
    <sheetView showGridLines="0" workbookViewId="0">
      <selection activeCell="N1" sqref="N1"/>
    </sheetView>
  </sheetViews>
  <sheetFormatPr defaultColWidth="8.85546875" defaultRowHeight="15"/>
  <cols>
    <col min="1" max="1" width="26" style="17" customWidth="1"/>
    <col min="2" max="13" width="8.85546875" style="17"/>
    <col min="14" max="14" width="12" style="17" customWidth="1"/>
    <col min="15" max="16384" width="8.85546875" style="17"/>
  </cols>
  <sheetData>
    <row r="1" spans="1:14" ht="29.25">
      <c r="A1" s="277" t="s">
        <v>36</v>
      </c>
      <c r="B1" s="278">
        <v>41275</v>
      </c>
      <c r="C1" s="278">
        <v>41306</v>
      </c>
      <c r="D1" s="278">
        <v>41334</v>
      </c>
      <c r="E1" s="278">
        <v>41365</v>
      </c>
      <c r="F1" s="278">
        <v>41395</v>
      </c>
      <c r="G1" s="278">
        <v>41426</v>
      </c>
      <c r="H1" s="278">
        <v>41456</v>
      </c>
      <c r="I1" s="278">
        <v>41487</v>
      </c>
      <c r="J1" s="278">
        <v>41518</v>
      </c>
      <c r="K1" s="278">
        <v>41548</v>
      </c>
      <c r="L1" s="278">
        <v>41579</v>
      </c>
      <c r="M1" s="278">
        <v>41609</v>
      </c>
      <c r="N1" s="279" t="s">
        <v>37</v>
      </c>
    </row>
    <row r="2" spans="1:14" ht="30">
      <c r="A2" s="146" t="s">
        <v>38</v>
      </c>
      <c r="B2" s="281">
        <f>699.3+530.5</f>
        <v>1229.8</v>
      </c>
      <c r="C2" s="281"/>
      <c r="D2" s="281"/>
      <c r="E2" s="281">
        <f>322.7+249.7</f>
        <v>572.4</v>
      </c>
      <c r="F2" s="281"/>
      <c r="G2" s="281"/>
      <c r="H2" s="281"/>
      <c r="I2" s="281"/>
      <c r="J2" s="281"/>
      <c r="K2" s="281">
        <f>181.9+161.6</f>
        <v>343.5</v>
      </c>
      <c r="L2" s="281"/>
      <c r="M2" s="281">
        <f>656.5+481.3</f>
        <v>1137.8</v>
      </c>
      <c r="N2" s="282">
        <f>SUM(B2:M2)</f>
        <v>3283.5</v>
      </c>
    </row>
    <row r="3" spans="1:14" ht="15.75" thickBot="1">
      <c r="A3" s="146" t="s">
        <v>39</v>
      </c>
      <c r="B3" s="260"/>
      <c r="C3" s="260"/>
      <c r="D3" s="260"/>
      <c r="E3" s="260"/>
      <c r="F3" s="260"/>
      <c r="G3" s="260"/>
      <c r="H3" s="260"/>
      <c r="I3" s="260"/>
      <c r="J3" s="260"/>
      <c r="K3" s="260"/>
      <c r="L3" s="260"/>
      <c r="M3" s="260">
        <v>546.20000000000005</v>
      </c>
      <c r="N3" s="261">
        <f>SUM(M3)</f>
        <v>546.20000000000005</v>
      </c>
    </row>
    <row r="4" spans="1:14" ht="16.5" thickTop="1" thickBot="1">
      <c r="A4" s="280" t="s">
        <v>45</v>
      </c>
      <c r="B4" s="275">
        <f>SUM(B2)</f>
        <v>1229.8</v>
      </c>
      <c r="C4" s="275">
        <f t="shared" ref="C4:L4" si="0">SUM(C2)</f>
        <v>0</v>
      </c>
      <c r="D4" s="275">
        <f t="shared" si="0"/>
        <v>0</v>
      </c>
      <c r="E4" s="275">
        <f t="shared" si="0"/>
        <v>572.4</v>
      </c>
      <c r="F4" s="275">
        <f t="shared" si="0"/>
        <v>0</v>
      </c>
      <c r="G4" s="275">
        <f t="shared" si="0"/>
        <v>0</v>
      </c>
      <c r="H4" s="275">
        <f t="shared" si="0"/>
        <v>0</v>
      </c>
      <c r="I4" s="275">
        <f t="shared" si="0"/>
        <v>0</v>
      </c>
      <c r="J4" s="275">
        <f t="shared" si="0"/>
        <v>0</v>
      </c>
      <c r="K4" s="275">
        <f t="shared" si="0"/>
        <v>343.5</v>
      </c>
      <c r="L4" s="275">
        <f t="shared" si="0"/>
        <v>0</v>
      </c>
      <c r="M4" s="275">
        <f>SUM(M2:M3)</f>
        <v>1684</v>
      </c>
      <c r="N4" s="276">
        <f>SUM(N2:N3)</f>
        <v>3829.7</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N4"/>
  <sheetViews>
    <sheetView showGridLines="0" workbookViewId="0">
      <selection activeCell="N1" sqref="N1"/>
    </sheetView>
  </sheetViews>
  <sheetFormatPr defaultColWidth="8.85546875" defaultRowHeight="15"/>
  <cols>
    <col min="1" max="1" width="27.42578125" style="17" customWidth="1"/>
    <col min="2" max="13" width="8.85546875" style="17"/>
    <col min="14" max="14" width="14.140625" style="17" customWidth="1"/>
    <col min="15" max="16384" width="8.85546875" style="17"/>
  </cols>
  <sheetData>
    <row r="1" spans="1:14">
      <c r="A1" s="277" t="s">
        <v>36</v>
      </c>
      <c r="B1" s="278">
        <v>41640</v>
      </c>
      <c r="C1" s="278">
        <v>41671</v>
      </c>
      <c r="D1" s="278">
        <v>41699</v>
      </c>
      <c r="E1" s="278">
        <v>41730</v>
      </c>
      <c r="F1" s="278">
        <v>41760</v>
      </c>
      <c r="G1" s="278">
        <v>41791</v>
      </c>
      <c r="H1" s="278">
        <v>41821</v>
      </c>
      <c r="I1" s="278">
        <v>41852</v>
      </c>
      <c r="J1" s="278">
        <v>41883</v>
      </c>
      <c r="K1" s="278">
        <v>41913</v>
      </c>
      <c r="L1" s="278">
        <v>41944</v>
      </c>
      <c r="M1" s="278">
        <v>41974</v>
      </c>
      <c r="N1" s="279" t="s">
        <v>37</v>
      </c>
    </row>
    <row r="2" spans="1:14" ht="30">
      <c r="A2" s="146" t="s">
        <v>38</v>
      </c>
      <c r="B2" s="281">
        <f>595.5+580.2</f>
        <v>1175.7</v>
      </c>
      <c r="C2" s="281">
        <f>641.2+382.47</f>
        <v>1023.6700000000001</v>
      </c>
      <c r="D2" s="281">
        <f>831.1+418.1</f>
        <v>1249.2</v>
      </c>
      <c r="E2" s="281">
        <f>370.8+270.3+225.3</f>
        <v>866.40000000000009</v>
      </c>
      <c r="F2" s="281">
        <f>39.5+54.3</f>
        <v>93.8</v>
      </c>
      <c r="G2" s="281"/>
      <c r="H2" s="281"/>
      <c r="I2" s="281"/>
      <c r="J2" s="281"/>
      <c r="K2" s="281">
        <f>55+224.3+53.6</f>
        <v>332.90000000000003</v>
      </c>
      <c r="L2" s="281">
        <f>166.6+267.4</f>
        <v>434</v>
      </c>
      <c r="M2" s="281">
        <f>267.2+217.7</f>
        <v>484.9</v>
      </c>
      <c r="N2" s="282">
        <f>SUM(B2:M2)</f>
        <v>5660.5699999999988</v>
      </c>
    </row>
    <row r="3" spans="1:14" ht="15.75" thickBot="1">
      <c r="A3" s="146" t="s">
        <v>39</v>
      </c>
      <c r="B3" s="260">
        <v>579</v>
      </c>
      <c r="C3" s="260"/>
      <c r="D3" s="260">
        <v>713.9</v>
      </c>
      <c r="E3" s="260"/>
      <c r="F3" s="260"/>
      <c r="G3" s="260"/>
      <c r="H3" s="260"/>
      <c r="I3" s="260"/>
      <c r="J3" s="260"/>
      <c r="K3" s="260">
        <v>430.6</v>
      </c>
      <c r="L3" s="260"/>
      <c r="M3" s="260">
        <v>443.2</v>
      </c>
      <c r="N3" s="261">
        <f>SUM(B3:M3)</f>
        <v>2166.6999999999998</v>
      </c>
    </row>
    <row r="4" spans="1:14" ht="16.5" thickTop="1" thickBot="1">
      <c r="A4" s="280" t="s">
        <v>45</v>
      </c>
      <c r="B4" s="275">
        <f>SUM(B2)</f>
        <v>1175.7</v>
      </c>
      <c r="C4" s="275">
        <f t="shared" ref="C4:M4" si="0">SUM(C2)</f>
        <v>1023.6700000000001</v>
      </c>
      <c r="D4" s="275">
        <f t="shared" si="0"/>
        <v>1249.2</v>
      </c>
      <c r="E4" s="275">
        <f t="shared" si="0"/>
        <v>866.40000000000009</v>
      </c>
      <c r="F4" s="275">
        <f t="shared" si="0"/>
        <v>93.8</v>
      </c>
      <c r="G4" s="275">
        <f t="shared" si="0"/>
        <v>0</v>
      </c>
      <c r="H4" s="275">
        <f t="shared" si="0"/>
        <v>0</v>
      </c>
      <c r="I4" s="275">
        <f t="shared" si="0"/>
        <v>0</v>
      </c>
      <c r="J4" s="275">
        <f t="shared" si="0"/>
        <v>0</v>
      </c>
      <c r="K4" s="275">
        <f t="shared" si="0"/>
        <v>332.90000000000003</v>
      </c>
      <c r="L4" s="275">
        <f t="shared" si="0"/>
        <v>434</v>
      </c>
      <c r="M4" s="275">
        <f t="shared" si="0"/>
        <v>484.9</v>
      </c>
      <c r="N4" s="276">
        <f>SUM(N2:N3)</f>
        <v>7827.2699999999986</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N4"/>
  <sheetViews>
    <sheetView showGridLines="0" workbookViewId="0">
      <selection activeCell="N1" sqref="N1"/>
    </sheetView>
  </sheetViews>
  <sheetFormatPr defaultColWidth="8.85546875" defaultRowHeight="15"/>
  <cols>
    <col min="1" max="1" width="24.28515625" style="17" customWidth="1"/>
    <col min="2" max="13" width="8.85546875" style="17"/>
    <col min="14" max="14" width="13.7109375" style="17" customWidth="1"/>
    <col min="15" max="16384" width="8.85546875" style="17"/>
  </cols>
  <sheetData>
    <row r="1" spans="1:14">
      <c r="A1" s="277" t="s">
        <v>36</v>
      </c>
      <c r="B1" s="283">
        <v>42005</v>
      </c>
      <c r="C1" s="283">
        <v>42036</v>
      </c>
      <c r="D1" s="283">
        <v>42064</v>
      </c>
      <c r="E1" s="283">
        <v>42095</v>
      </c>
      <c r="F1" s="283">
        <v>42125</v>
      </c>
      <c r="G1" s="283">
        <v>42156</v>
      </c>
      <c r="H1" s="283">
        <v>42186</v>
      </c>
      <c r="I1" s="283">
        <v>42217</v>
      </c>
      <c r="J1" s="283">
        <v>42248</v>
      </c>
      <c r="K1" s="283">
        <v>42278</v>
      </c>
      <c r="L1" s="283">
        <v>42309</v>
      </c>
      <c r="M1" s="283">
        <v>42339</v>
      </c>
      <c r="N1" s="279" t="s">
        <v>37</v>
      </c>
    </row>
    <row r="2" spans="1:14" ht="30">
      <c r="A2" s="146" t="s">
        <v>38</v>
      </c>
      <c r="B2" s="281">
        <f>580.2+595.5</f>
        <v>1175.7</v>
      </c>
      <c r="C2" s="281">
        <f>641.2+419.4</f>
        <v>1060.5999999999999</v>
      </c>
      <c r="D2" s="281">
        <f>838.1+418.1</f>
        <v>1256.2</v>
      </c>
      <c r="E2" s="281">
        <f>370.8+270.3+225.3</f>
        <v>866.40000000000009</v>
      </c>
      <c r="F2" s="281"/>
      <c r="G2" s="281"/>
      <c r="H2" s="281"/>
      <c r="I2" s="281"/>
      <c r="J2" s="281"/>
      <c r="K2" s="281">
        <f>53.6+55+224.3</f>
        <v>332.9</v>
      </c>
      <c r="L2" s="281">
        <f>166.6+267.4</f>
        <v>434</v>
      </c>
      <c r="M2" s="281"/>
      <c r="N2" s="282">
        <f>SUM(B2:M2)</f>
        <v>5125.7999999999993</v>
      </c>
    </row>
    <row r="3" spans="1:14" ht="15.75" thickBot="1">
      <c r="A3" s="146" t="s">
        <v>39</v>
      </c>
      <c r="B3" s="260"/>
      <c r="C3" s="260"/>
      <c r="D3" s="260"/>
      <c r="E3" s="260"/>
      <c r="F3" s="260"/>
      <c r="G3" s="260"/>
      <c r="H3" s="260"/>
      <c r="I3" s="260"/>
      <c r="J3" s="260"/>
      <c r="K3" s="260">
        <v>430.6</v>
      </c>
      <c r="L3" s="260"/>
      <c r="M3" s="260"/>
      <c r="N3" s="261">
        <f>SUM(B3:M3)</f>
        <v>430.6</v>
      </c>
    </row>
    <row r="4" spans="1:14" ht="16.5" thickTop="1" thickBot="1">
      <c r="A4" s="280" t="s">
        <v>45</v>
      </c>
      <c r="B4" s="275">
        <f>SUM(B2:B3)</f>
        <v>1175.7</v>
      </c>
      <c r="C4" s="275">
        <f t="shared" ref="C4:N4" si="0">SUM(C2:C3)</f>
        <v>1060.5999999999999</v>
      </c>
      <c r="D4" s="275">
        <f t="shared" si="0"/>
        <v>1256.2</v>
      </c>
      <c r="E4" s="275">
        <f t="shared" si="0"/>
        <v>866.40000000000009</v>
      </c>
      <c r="F4" s="275">
        <f t="shared" si="0"/>
        <v>0</v>
      </c>
      <c r="G4" s="275">
        <f t="shared" si="0"/>
        <v>0</v>
      </c>
      <c r="H4" s="275">
        <f t="shared" si="0"/>
        <v>0</v>
      </c>
      <c r="I4" s="275">
        <f t="shared" si="0"/>
        <v>0</v>
      </c>
      <c r="J4" s="275">
        <f t="shared" si="0"/>
        <v>0</v>
      </c>
      <c r="K4" s="275">
        <f t="shared" si="0"/>
        <v>763.5</v>
      </c>
      <c r="L4" s="275">
        <f t="shared" si="0"/>
        <v>434</v>
      </c>
      <c r="M4" s="275">
        <f t="shared" si="0"/>
        <v>0</v>
      </c>
      <c r="N4" s="276">
        <f t="shared" si="0"/>
        <v>5556.4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4"/>
  <sheetViews>
    <sheetView showGridLines="0" workbookViewId="0">
      <selection activeCell="N1" sqref="N1"/>
    </sheetView>
  </sheetViews>
  <sheetFormatPr defaultColWidth="8.85546875" defaultRowHeight="15"/>
  <cols>
    <col min="1" max="1" width="24.140625" style="17" customWidth="1"/>
    <col min="2" max="2" width="10.7109375" style="17" customWidth="1"/>
    <col min="3" max="3" width="10.28515625" style="17" customWidth="1"/>
    <col min="4" max="4" width="10.42578125" style="17" customWidth="1"/>
    <col min="5" max="5" width="10.28515625" style="17" customWidth="1"/>
    <col min="6" max="6" width="10.85546875" style="17" customWidth="1"/>
    <col min="7" max="7" width="10.42578125" style="17" customWidth="1"/>
    <col min="8" max="8" width="10.28515625" style="17" customWidth="1"/>
    <col min="9" max="11" width="11" style="17" customWidth="1"/>
    <col min="12" max="12" width="10.28515625" style="17" customWidth="1"/>
    <col min="13" max="13" width="10.42578125" style="17" customWidth="1"/>
    <col min="14" max="14" width="11.42578125" style="17" customWidth="1"/>
    <col min="15" max="16384" width="8.85546875" style="17"/>
  </cols>
  <sheetData>
    <row r="1" spans="1:14" ht="15.75" thickBot="1">
      <c r="A1" s="1" t="s">
        <v>0</v>
      </c>
      <c r="B1" s="2">
        <v>40179</v>
      </c>
      <c r="C1" s="2">
        <v>40210</v>
      </c>
      <c r="D1" s="2">
        <v>40238</v>
      </c>
      <c r="E1" s="2">
        <v>40269</v>
      </c>
      <c r="F1" s="2">
        <v>40299</v>
      </c>
      <c r="G1" s="2">
        <v>40330</v>
      </c>
      <c r="H1" s="2">
        <v>40360</v>
      </c>
      <c r="I1" s="2">
        <v>40391</v>
      </c>
      <c r="J1" s="2">
        <v>40422</v>
      </c>
      <c r="K1" s="2">
        <v>40452</v>
      </c>
      <c r="L1" s="2">
        <v>40483</v>
      </c>
      <c r="M1" s="2">
        <v>40513</v>
      </c>
      <c r="N1" s="36" t="s">
        <v>130</v>
      </c>
    </row>
    <row r="2" spans="1:14">
      <c r="A2" s="6"/>
      <c r="B2" s="30"/>
      <c r="C2" s="30"/>
      <c r="D2" s="30"/>
      <c r="E2" s="30"/>
      <c r="F2" s="30"/>
      <c r="G2" s="30"/>
      <c r="H2" s="30"/>
      <c r="I2" s="30"/>
      <c r="J2" s="30"/>
      <c r="K2" s="30"/>
      <c r="L2" s="30"/>
      <c r="M2" s="30"/>
      <c r="N2" s="4"/>
    </row>
    <row r="3" spans="1:14" ht="15.75" thickBot="1">
      <c r="A3" s="6" t="s">
        <v>1</v>
      </c>
      <c r="B3" s="30"/>
      <c r="C3" s="30"/>
      <c r="D3" s="30"/>
      <c r="E3" s="30"/>
      <c r="F3" s="30"/>
      <c r="G3" s="30"/>
      <c r="H3" s="30"/>
      <c r="I3" s="30"/>
      <c r="J3" s="30"/>
      <c r="K3" s="30"/>
      <c r="L3" s="30"/>
      <c r="M3" s="30"/>
      <c r="N3" s="4"/>
    </row>
    <row r="4" spans="1:14" ht="30">
      <c r="A4" s="28" t="s">
        <v>55</v>
      </c>
      <c r="B4" s="105">
        <v>1006463</v>
      </c>
      <c r="C4" s="105">
        <v>638454</v>
      </c>
      <c r="D4" s="105">
        <v>729745</v>
      </c>
      <c r="E4" s="105">
        <v>772267</v>
      </c>
      <c r="F4" s="105">
        <v>821073</v>
      </c>
      <c r="G4" s="105">
        <v>861015</v>
      </c>
      <c r="H4" s="105">
        <v>871353</v>
      </c>
      <c r="I4" s="105">
        <v>729497</v>
      </c>
      <c r="J4" s="105">
        <v>771113</v>
      </c>
      <c r="K4" s="105">
        <v>823297</v>
      </c>
      <c r="L4" s="105">
        <v>702550</v>
      </c>
      <c r="M4" s="105">
        <v>987703</v>
      </c>
      <c r="N4" s="176">
        <f>SUM(B4:M4)</f>
        <v>9714530</v>
      </c>
    </row>
    <row r="5" spans="1:14">
      <c r="A5" s="33" t="s">
        <v>2</v>
      </c>
      <c r="B5" s="107">
        <v>72528</v>
      </c>
      <c r="C5" s="107">
        <v>89697</v>
      </c>
      <c r="D5" s="107">
        <v>70413</v>
      </c>
      <c r="E5" s="107">
        <v>58053</v>
      </c>
      <c r="F5" s="107">
        <v>52797</v>
      </c>
      <c r="G5" s="107">
        <v>51420</v>
      </c>
      <c r="H5" s="107">
        <v>48210</v>
      </c>
      <c r="I5" s="107">
        <v>57555</v>
      </c>
      <c r="J5" s="107">
        <v>58004</v>
      </c>
      <c r="K5" s="107">
        <v>57545</v>
      </c>
      <c r="L5" s="107">
        <v>55736</v>
      </c>
      <c r="M5" s="107">
        <v>59000</v>
      </c>
      <c r="N5" s="177">
        <f t="shared" ref="N5:N8" si="0">SUM(B5:M5)</f>
        <v>730958</v>
      </c>
    </row>
    <row r="6" spans="1:14">
      <c r="A6" s="33" t="s">
        <v>57</v>
      </c>
      <c r="B6" s="107">
        <v>966</v>
      </c>
      <c r="C6" s="107">
        <v>1049</v>
      </c>
      <c r="D6" s="107">
        <v>576</v>
      </c>
      <c r="E6" s="107">
        <v>376</v>
      </c>
      <c r="F6" s="107">
        <v>222</v>
      </c>
      <c r="G6" s="107">
        <v>157</v>
      </c>
      <c r="H6" s="107">
        <v>79</v>
      </c>
      <c r="I6" s="107">
        <v>112</v>
      </c>
      <c r="J6" s="107">
        <v>290</v>
      </c>
      <c r="K6" s="178">
        <v>537</v>
      </c>
      <c r="L6" s="107">
        <v>857</v>
      </c>
      <c r="M6" s="107">
        <v>1272</v>
      </c>
      <c r="N6" s="177">
        <f t="shared" si="0"/>
        <v>6493</v>
      </c>
    </row>
    <row r="7" spans="1:14">
      <c r="A7" s="33" t="s">
        <v>58</v>
      </c>
      <c r="B7" s="107">
        <v>3258</v>
      </c>
      <c r="C7" s="107">
        <v>3621</v>
      </c>
      <c r="D7" s="107">
        <v>2460</v>
      </c>
      <c r="E7" s="107">
        <v>2532</v>
      </c>
      <c r="F7" s="107">
        <v>1614</v>
      </c>
      <c r="G7" s="107">
        <v>1170</v>
      </c>
      <c r="H7" s="107">
        <v>938</v>
      </c>
      <c r="I7" s="107">
        <v>881</v>
      </c>
      <c r="J7" s="107">
        <v>928</v>
      </c>
      <c r="K7" s="178">
        <v>2346</v>
      </c>
      <c r="L7" s="107">
        <v>2968</v>
      </c>
      <c r="M7" s="107">
        <v>3198</v>
      </c>
      <c r="N7" s="177">
        <f t="shared" si="0"/>
        <v>25914</v>
      </c>
    </row>
    <row r="8" spans="1:14" ht="15.75" thickBot="1">
      <c r="A8" s="81" t="s">
        <v>59</v>
      </c>
      <c r="B8" s="156">
        <v>0</v>
      </c>
      <c r="C8" s="156">
        <v>0</v>
      </c>
      <c r="D8" s="156">
        <v>0</v>
      </c>
      <c r="E8" s="156">
        <v>0</v>
      </c>
      <c r="F8" s="156">
        <v>0</v>
      </c>
      <c r="G8" s="156">
        <v>0</v>
      </c>
      <c r="H8" s="156">
        <v>0</v>
      </c>
      <c r="I8" s="156">
        <v>0</v>
      </c>
      <c r="J8" s="156">
        <v>0</v>
      </c>
      <c r="K8" s="179">
        <v>0</v>
      </c>
      <c r="L8" s="156">
        <v>0</v>
      </c>
      <c r="M8" s="156">
        <v>0</v>
      </c>
      <c r="N8" s="180">
        <f t="shared" si="0"/>
        <v>0</v>
      </c>
    </row>
    <row r="9" spans="1:14" ht="16.5" thickTop="1" thickBot="1">
      <c r="A9" s="12" t="s">
        <v>45</v>
      </c>
      <c r="B9" s="181">
        <f>SUM(B4:B8)</f>
        <v>1083215</v>
      </c>
      <c r="C9" s="181">
        <f t="shared" ref="C9:N9" si="1">SUM(C4:C8)</f>
        <v>732821</v>
      </c>
      <c r="D9" s="181">
        <f t="shared" si="1"/>
        <v>803194</v>
      </c>
      <c r="E9" s="181">
        <f t="shared" si="1"/>
        <v>833228</v>
      </c>
      <c r="F9" s="181">
        <f t="shared" si="1"/>
        <v>875706</v>
      </c>
      <c r="G9" s="181">
        <f t="shared" si="1"/>
        <v>913762</v>
      </c>
      <c r="H9" s="181">
        <f t="shared" si="1"/>
        <v>920580</v>
      </c>
      <c r="I9" s="181">
        <f t="shared" si="1"/>
        <v>788045</v>
      </c>
      <c r="J9" s="181">
        <f t="shared" si="1"/>
        <v>830335</v>
      </c>
      <c r="K9" s="181">
        <f t="shared" si="1"/>
        <v>883725</v>
      </c>
      <c r="L9" s="181">
        <f t="shared" si="1"/>
        <v>762111</v>
      </c>
      <c r="M9" s="181">
        <f t="shared" si="1"/>
        <v>1051173</v>
      </c>
      <c r="N9" s="181">
        <f t="shared" si="1"/>
        <v>10477895</v>
      </c>
    </row>
    <row r="10" spans="1:14">
      <c r="A10" s="6"/>
      <c r="B10" s="182"/>
      <c r="C10" s="182"/>
      <c r="D10" s="182"/>
      <c r="E10" s="182"/>
      <c r="F10" s="182"/>
      <c r="G10" s="182"/>
      <c r="H10" s="182"/>
      <c r="I10" s="182"/>
      <c r="J10" s="182"/>
      <c r="K10" s="182"/>
      <c r="L10" s="182"/>
      <c r="M10" s="182"/>
      <c r="N10" s="182"/>
    </row>
    <row r="11" spans="1:14" ht="15.75" thickBot="1">
      <c r="A11" s="6" t="s">
        <v>15</v>
      </c>
      <c r="B11" s="183"/>
      <c r="C11" s="183"/>
      <c r="D11" s="183"/>
      <c r="E11" s="183"/>
      <c r="F11" s="183"/>
      <c r="G11" s="183"/>
      <c r="H11" s="183"/>
      <c r="I11" s="183"/>
      <c r="J11" s="183"/>
      <c r="K11" s="183"/>
      <c r="L11" s="183"/>
      <c r="M11" s="183"/>
      <c r="N11" s="183"/>
    </row>
    <row r="12" spans="1:14">
      <c r="A12" s="86" t="s">
        <v>97</v>
      </c>
      <c r="B12" s="105">
        <v>643</v>
      </c>
      <c r="C12" s="105">
        <v>662</v>
      </c>
      <c r="D12" s="105">
        <v>542</v>
      </c>
      <c r="E12" s="105">
        <v>594</v>
      </c>
      <c r="F12" s="105">
        <v>454</v>
      </c>
      <c r="G12" s="184"/>
      <c r="H12" s="105">
        <v>664</v>
      </c>
      <c r="I12" s="105">
        <v>554</v>
      </c>
      <c r="J12" s="105">
        <v>556</v>
      </c>
      <c r="K12" s="105">
        <v>807</v>
      </c>
      <c r="L12" s="105">
        <v>1043</v>
      </c>
      <c r="M12" s="105">
        <v>985</v>
      </c>
      <c r="N12" s="176">
        <f t="shared" ref="N12:N17" si="2">SUM(B12:M12)</f>
        <v>7504</v>
      </c>
    </row>
    <row r="13" spans="1:14">
      <c r="A13" s="25" t="s">
        <v>98</v>
      </c>
      <c r="B13" s="107">
        <v>1200</v>
      </c>
      <c r="C13" s="107">
        <v>16920</v>
      </c>
      <c r="D13" s="107">
        <v>7400</v>
      </c>
      <c r="E13" s="107">
        <v>2840</v>
      </c>
      <c r="F13" s="107">
        <v>1400</v>
      </c>
      <c r="G13" s="107">
        <v>40</v>
      </c>
      <c r="H13" s="107">
        <v>0</v>
      </c>
      <c r="I13" s="107">
        <v>0</v>
      </c>
      <c r="J13" s="107">
        <v>40</v>
      </c>
      <c r="K13" s="107">
        <v>1040</v>
      </c>
      <c r="L13" s="107">
        <v>3200</v>
      </c>
      <c r="M13" s="107">
        <f>4840+520</f>
        <v>5360</v>
      </c>
      <c r="N13" s="177">
        <f t="shared" si="2"/>
        <v>39440</v>
      </c>
    </row>
    <row r="14" spans="1:14">
      <c r="A14" s="25" t="s">
        <v>85</v>
      </c>
      <c r="B14" s="107">
        <v>4302</v>
      </c>
      <c r="C14" s="107">
        <v>4759</v>
      </c>
      <c r="D14" s="107">
        <v>3524</v>
      </c>
      <c r="E14" s="107">
        <v>2623</v>
      </c>
      <c r="F14" s="107">
        <v>1509</v>
      </c>
      <c r="G14" s="107">
        <v>1198</v>
      </c>
      <c r="H14" s="107">
        <v>1227</v>
      </c>
      <c r="I14" s="107">
        <v>1227</v>
      </c>
      <c r="J14" s="107">
        <f>247+1077</f>
        <v>1324</v>
      </c>
      <c r="K14" s="107">
        <v>1588</v>
      </c>
      <c r="L14" s="107">
        <v>2466</v>
      </c>
      <c r="M14" s="107">
        <v>3488</v>
      </c>
      <c r="N14" s="177">
        <f t="shared" si="2"/>
        <v>29235</v>
      </c>
    </row>
    <row r="15" spans="1:14">
      <c r="A15" s="25" t="s">
        <v>99</v>
      </c>
      <c r="B15" s="107">
        <v>500</v>
      </c>
      <c r="C15" s="107">
        <v>1032</v>
      </c>
      <c r="D15" s="107">
        <v>663</v>
      </c>
      <c r="E15" s="107">
        <v>805</v>
      </c>
      <c r="F15" s="107">
        <v>709</v>
      </c>
      <c r="G15" s="107">
        <v>783</v>
      </c>
      <c r="H15" s="107">
        <v>929</v>
      </c>
      <c r="I15" s="107">
        <v>933</v>
      </c>
      <c r="J15" s="107">
        <v>894</v>
      </c>
      <c r="K15" s="107">
        <v>120</v>
      </c>
      <c r="L15" s="107">
        <v>754</v>
      </c>
      <c r="M15" s="107">
        <v>582</v>
      </c>
      <c r="N15" s="177">
        <f t="shared" si="2"/>
        <v>8704</v>
      </c>
    </row>
    <row r="16" spans="1:14" ht="15.75" thickBot="1">
      <c r="A16" s="25" t="s">
        <v>100</v>
      </c>
      <c r="B16" s="156">
        <v>56800</v>
      </c>
      <c r="C16" s="156">
        <v>191200</v>
      </c>
      <c r="D16" s="156">
        <v>94400</v>
      </c>
      <c r="E16" s="156">
        <v>65600</v>
      </c>
      <c r="F16" s="156">
        <v>44000</v>
      </c>
      <c r="G16" s="156">
        <v>28800</v>
      </c>
      <c r="H16" s="156">
        <v>29600</v>
      </c>
      <c r="I16" s="156">
        <v>27200</v>
      </c>
      <c r="J16" s="156">
        <v>30400</v>
      </c>
      <c r="K16" s="156">
        <v>40000</v>
      </c>
      <c r="L16" s="156">
        <v>63200</v>
      </c>
      <c r="M16" s="156">
        <v>80800</v>
      </c>
      <c r="N16" s="180">
        <f t="shared" si="2"/>
        <v>752000</v>
      </c>
    </row>
    <row r="17" spans="1:14" ht="16.5" thickTop="1" thickBot="1">
      <c r="A17" s="59" t="s">
        <v>4</v>
      </c>
      <c r="B17" s="185">
        <f t="shared" ref="B17:M17" si="3">SUM(B12:B16)</f>
        <v>63445</v>
      </c>
      <c r="C17" s="185">
        <f t="shared" si="3"/>
        <v>214573</v>
      </c>
      <c r="D17" s="185">
        <f t="shared" si="3"/>
        <v>106529</v>
      </c>
      <c r="E17" s="185">
        <f t="shared" si="3"/>
        <v>72462</v>
      </c>
      <c r="F17" s="185">
        <f t="shared" si="3"/>
        <v>48072</v>
      </c>
      <c r="G17" s="185">
        <f t="shared" si="3"/>
        <v>30821</v>
      </c>
      <c r="H17" s="185">
        <f t="shared" si="3"/>
        <v>32420</v>
      </c>
      <c r="I17" s="185">
        <f t="shared" si="3"/>
        <v>29914</v>
      </c>
      <c r="J17" s="185">
        <f t="shared" si="3"/>
        <v>33214</v>
      </c>
      <c r="K17" s="185">
        <f t="shared" si="3"/>
        <v>43555</v>
      </c>
      <c r="L17" s="185">
        <f t="shared" si="3"/>
        <v>70663</v>
      </c>
      <c r="M17" s="185">
        <f t="shared" si="3"/>
        <v>91215</v>
      </c>
      <c r="N17" s="186">
        <f t="shared" si="2"/>
        <v>836883</v>
      </c>
    </row>
    <row r="18" spans="1:14" ht="30" thickTop="1" thickBot="1">
      <c r="A18" s="12" t="s">
        <v>50</v>
      </c>
      <c r="B18" s="181">
        <f t="shared" ref="B18:N18" si="4">B9+B17</f>
        <v>1146660</v>
      </c>
      <c r="C18" s="181">
        <f t="shared" si="4"/>
        <v>947394</v>
      </c>
      <c r="D18" s="181">
        <f t="shared" si="4"/>
        <v>909723</v>
      </c>
      <c r="E18" s="181">
        <f t="shared" si="4"/>
        <v>905690</v>
      </c>
      <c r="F18" s="181">
        <f t="shared" si="4"/>
        <v>923778</v>
      </c>
      <c r="G18" s="181">
        <f t="shared" si="4"/>
        <v>944583</v>
      </c>
      <c r="H18" s="181">
        <f t="shared" si="4"/>
        <v>953000</v>
      </c>
      <c r="I18" s="181">
        <f t="shared" si="4"/>
        <v>817959</v>
      </c>
      <c r="J18" s="181">
        <f t="shared" si="4"/>
        <v>863549</v>
      </c>
      <c r="K18" s="181">
        <f t="shared" si="4"/>
        <v>927280</v>
      </c>
      <c r="L18" s="181">
        <f t="shared" si="4"/>
        <v>832774</v>
      </c>
      <c r="M18" s="181">
        <f t="shared" si="4"/>
        <v>1142388</v>
      </c>
      <c r="N18" s="187">
        <f t="shared" si="4"/>
        <v>11314778</v>
      </c>
    </row>
    <row r="19" spans="1:14" ht="15.75" thickBot="1">
      <c r="B19" s="159"/>
      <c r="C19" s="159"/>
      <c r="D19" s="159"/>
      <c r="E19" s="159"/>
      <c r="F19" s="159"/>
      <c r="G19" s="159"/>
      <c r="H19" s="159"/>
      <c r="I19" s="159"/>
      <c r="J19" s="159"/>
      <c r="K19" s="159"/>
      <c r="L19" s="159"/>
      <c r="M19" s="159"/>
      <c r="N19" s="159"/>
    </row>
    <row r="20" spans="1:14" ht="15.75" thickBot="1">
      <c r="A20" s="66" t="s">
        <v>20</v>
      </c>
      <c r="B20" s="188" t="s">
        <v>42</v>
      </c>
      <c r="C20" s="188" t="s">
        <v>42</v>
      </c>
      <c r="D20" s="188" t="s">
        <v>42</v>
      </c>
      <c r="E20" s="188" t="s">
        <v>42</v>
      </c>
      <c r="F20" s="188" t="s">
        <v>42</v>
      </c>
      <c r="G20" s="188" t="s">
        <v>42</v>
      </c>
      <c r="H20" s="188" t="s">
        <v>42</v>
      </c>
      <c r="I20" s="188" t="s">
        <v>42</v>
      </c>
      <c r="J20" s="188" t="s">
        <v>42</v>
      </c>
      <c r="K20" s="188" t="s">
        <v>42</v>
      </c>
      <c r="L20" s="188" t="s">
        <v>42</v>
      </c>
      <c r="M20" s="188">
        <v>46837</v>
      </c>
      <c r="N20" s="189">
        <f>SUM(M20)</f>
        <v>46837</v>
      </c>
    </row>
    <row r="21" spans="1:14" ht="15.75" thickBot="1">
      <c r="B21" s="159"/>
      <c r="C21" s="159"/>
      <c r="D21" s="159"/>
      <c r="E21" s="159"/>
      <c r="F21" s="159"/>
      <c r="G21" s="159"/>
      <c r="H21" s="159"/>
      <c r="I21" s="159"/>
      <c r="J21" s="159"/>
      <c r="K21" s="159"/>
      <c r="L21" s="159"/>
      <c r="M21" s="159"/>
      <c r="N21" s="159"/>
    </row>
    <row r="22" spans="1:14">
      <c r="A22" s="24" t="s">
        <v>16</v>
      </c>
      <c r="B22" s="161">
        <f>B18</f>
        <v>1146660</v>
      </c>
      <c r="C22" s="161">
        <f>C18</f>
        <v>947394</v>
      </c>
      <c r="D22" s="161">
        <f t="shared" ref="D22:L22" si="5">D18</f>
        <v>909723</v>
      </c>
      <c r="E22" s="161">
        <f t="shared" si="5"/>
        <v>905690</v>
      </c>
      <c r="F22" s="161">
        <f t="shared" si="5"/>
        <v>923778</v>
      </c>
      <c r="G22" s="161">
        <f t="shared" si="5"/>
        <v>944583</v>
      </c>
      <c r="H22" s="161">
        <f t="shared" si="5"/>
        <v>953000</v>
      </c>
      <c r="I22" s="161">
        <f t="shared" si="5"/>
        <v>817959</v>
      </c>
      <c r="J22" s="161">
        <f t="shared" si="5"/>
        <v>863549</v>
      </c>
      <c r="K22" s="161">
        <f t="shared" si="5"/>
        <v>927280</v>
      </c>
      <c r="L22" s="161">
        <f t="shared" si="5"/>
        <v>832774</v>
      </c>
      <c r="M22" s="161">
        <f>M18+M20</f>
        <v>1189225</v>
      </c>
      <c r="N22" s="190">
        <f>SUM(B22:M22)</f>
        <v>11361615</v>
      </c>
    </row>
    <row r="23" spans="1:14">
      <c r="A23" s="26" t="s">
        <v>17</v>
      </c>
      <c r="B23" s="162">
        <v>866591</v>
      </c>
      <c r="C23" s="162">
        <v>179409</v>
      </c>
      <c r="D23" s="162">
        <v>839832</v>
      </c>
      <c r="E23" s="162">
        <v>314818</v>
      </c>
      <c r="F23" s="162">
        <v>489927</v>
      </c>
      <c r="G23" s="162">
        <v>504957</v>
      </c>
      <c r="H23" s="162">
        <v>666150</v>
      </c>
      <c r="I23" s="162">
        <v>955513</v>
      </c>
      <c r="J23" s="162">
        <v>698935</v>
      </c>
      <c r="K23" s="162">
        <v>645611</v>
      </c>
      <c r="L23" s="162">
        <v>755033</v>
      </c>
      <c r="M23" s="162">
        <v>398993</v>
      </c>
      <c r="N23" s="163">
        <f>SUM(B23:M23)</f>
        <v>7315769</v>
      </c>
    </row>
    <row r="24" spans="1:14" ht="15.75" thickBot="1">
      <c r="A24" s="20" t="s">
        <v>48</v>
      </c>
      <c r="B24" s="164">
        <f>SUM(B22:B23)</f>
        <v>2013251</v>
      </c>
      <c r="C24" s="164">
        <f t="shared" ref="C24:N24" si="6">SUM(C22:C23)</f>
        <v>1126803</v>
      </c>
      <c r="D24" s="164">
        <f t="shared" si="6"/>
        <v>1749555</v>
      </c>
      <c r="E24" s="164">
        <f t="shared" si="6"/>
        <v>1220508</v>
      </c>
      <c r="F24" s="164">
        <f t="shared" si="6"/>
        <v>1413705</v>
      </c>
      <c r="G24" s="164">
        <f t="shared" si="6"/>
        <v>1449540</v>
      </c>
      <c r="H24" s="164">
        <f t="shared" si="6"/>
        <v>1619150</v>
      </c>
      <c r="I24" s="164">
        <f t="shared" si="6"/>
        <v>1773472</v>
      </c>
      <c r="J24" s="164">
        <f t="shared" si="6"/>
        <v>1562484</v>
      </c>
      <c r="K24" s="164">
        <f t="shared" si="6"/>
        <v>1572891</v>
      </c>
      <c r="L24" s="164">
        <f t="shared" si="6"/>
        <v>1587807</v>
      </c>
      <c r="M24" s="164">
        <f t="shared" si="6"/>
        <v>1588218</v>
      </c>
      <c r="N24" s="169">
        <f t="shared" si="6"/>
        <v>18677384</v>
      </c>
    </row>
  </sheetData>
  <pageMargins left="0.7" right="0.7" top="0.75" bottom="0.75" header="0.3" footer="0.3"/>
  <pageSetup scale="75"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N4"/>
  <sheetViews>
    <sheetView showGridLines="0" workbookViewId="0">
      <selection activeCell="N1" sqref="N1"/>
    </sheetView>
  </sheetViews>
  <sheetFormatPr defaultColWidth="8.85546875" defaultRowHeight="15"/>
  <cols>
    <col min="1" max="1" width="27.28515625" style="17" customWidth="1"/>
    <col min="2" max="13" width="8.85546875" style="17"/>
    <col min="14" max="14" width="12.42578125" style="17" customWidth="1"/>
    <col min="15" max="16384" width="8.85546875" style="17"/>
  </cols>
  <sheetData>
    <row r="1" spans="1:14">
      <c r="A1" s="277" t="s">
        <v>36</v>
      </c>
      <c r="B1" s="278">
        <v>42370</v>
      </c>
      <c r="C1" s="278">
        <v>42401</v>
      </c>
      <c r="D1" s="278">
        <v>42430</v>
      </c>
      <c r="E1" s="278">
        <v>42461</v>
      </c>
      <c r="F1" s="278">
        <v>42491</v>
      </c>
      <c r="G1" s="278">
        <v>42522</v>
      </c>
      <c r="H1" s="278">
        <v>42552</v>
      </c>
      <c r="I1" s="278">
        <v>42583</v>
      </c>
      <c r="J1" s="278">
        <v>42614</v>
      </c>
      <c r="K1" s="278">
        <v>42644</v>
      </c>
      <c r="L1" s="278">
        <v>42675</v>
      </c>
      <c r="M1" s="278">
        <v>42705</v>
      </c>
      <c r="N1" s="279" t="s">
        <v>37</v>
      </c>
    </row>
    <row r="2" spans="1:14" ht="30">
      <c r="A2" s="146" t="s">
        <v>38</v>
      </c>
      <c r="B2" s="281">
        <f>496+479.8</f>
        <v>975.8</v>
      </c>
      <c r="C2" s="281">
        <f>705.5+446.3+475.5</f>
        <v>1627.3</v>
      </c>
      <c r="D2" s="281"/>
      <c r="E2" s="281">
        <f>599.7+345.4+220.9+419.5</f>
        <v>1585.5</v>
      </c>
      <c r="F2" s="281">
        <f>473.9+328.7+112.6</f>
        <v>915.19999999999993</v>
      </c>
      <c r="G2" s="281">
        <v>120.6</v>
      </c>
      <c r="H2" s="281"/>
      <c r="I2" s="281"/>
      <c r="J2" s="281"/>
      <c r="K2" s="281"/>
      <c r="L2" s="281"/>
      <c r="M2" s="281">
        <f>405.1+180</f>
        <v>585.1</v>
      </c>
      <c r="N2" s="282">
        <f>SUM(B2:M2)</f>
        <v>5809.5000000000009</v>
      </c>
    </row>
    <row r="3" spans="1:14" ht="15.75" thickBot="1">
      <c r="A3" s="146" t="s">
        <v>39</v>
      </c>
      <c r="B3" s="260"/>
      <c r="C3" s="260"/>
      <c r="D3" s="260"/>
      <c r="E3" s="260"/>
      <c r="F3" s="260"/>
      <c r="G3" s="260"/>
      <c r="H3" s="260"/>
      <c r="I3" s="260">
        <f>180+405.1</f>
        <v>585.1</v>
      </c>
      <c r="J3" s="260"/>
      <c r="K3" s="260"/>
      <c r="L3" s="260"/>
      <c r="M3" s="260">
        <v>344.9</v>
      </c>
      <c r="N3" s="261">
        <f>SUM(B3:M3)</f>
        <v>930</v>
      </c>
    </row>
    <row r="4" spans="1:14" ht="16.5" thickTop="1" thickBot="1">
      <c r="A4" s="280" t="s">
        <v>45</v>
      </c>
      <c r="B4" s="275">
        <f>SUM(B2)</f>
        <v>975.8</v>
      </c>
      <c r="C4" s="275">
        <f t="shared" ref="C4:L4" si="0">SUM(C2)</f>
        <v>1627.3</v>
      </c>
      <c r="D4" s="275">
        <f t="shared" si="0"/>
        <v>0</v>
      </c>
      <c r="E4" s="275">
        <f t="shared" si="0"/>
        <v>1585.5</v>
      </c>
      <c r="F4" s="275">
        <f t="shared" si="0"/>
        <v>915.19999999999993</v>
      </c>
      <c r="G4" s="275">
        <f t="shared" si="0"/>
        <v>120.6</v>
      </c>
      <c r="H4" s="275">
        <f t="shared" si="0"/>
        <v>0</v>
      </c>
      <c r="I4" s="275">
        <f>SUM(I3)</f>
        <v>585.1</v>
      </c>
      <c r="J4" s="275">
        <f t="shared" si="0"/>
        <v>0</v>
      </c>
      <c r="K4" s="275">
        <f t="shared" si="0"/>
        <v>0</v>
      </c>
      <c r="L4" s="275">
        <f t="shared" si="0"/>
        <v>0</v>
      </c>
      <c r="M4" s="275">
        <f>SUM(M2:M3)</f>
        <v>930</v>
      </c>
      <c r="N4" s="276">
        <f>SUM(N2:N3)</f>
        <v>6739.5000000000009</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N4"/>
  <sheetViews>
    <sheetView showGridLines="0" workbookViewId="0">
      <selection activeCell="N1" sqref="N1"/>
    </sheetView>
  </sheetViews>
  <sheetFormatPr defaultColWidth="8.85546875" defaultRowHeight="15"/>
  <cols>
    <col min="1" max="1" width="27.42578125" style="17" customWidth="1"/>
    <col min="2" max="13" width="8.85546875" style="17"/>
    <col min="14" max="14" width="12.42578125" style="17" customWidth="1"/>
    <col min="15" max="16384" width="8.85546875" style="17"/>
  </cols>
  <sheetData>
    <row r="1" spans="1:14">
      <c r="A1" s="277" t="s">
        <v>36</v>
      </c>
      <c r="B1" s="278">
        <v>42736</v>
      </c>
      <c r="C1" s="278">
        <v>42767</v>
      </c>
      <c r="D1" s="278">
        <v>42795</v>
      </c>
      <c r="E1" s="278">
        <v>42826</v>
      </c>
      <c r="F1" s="278">
        <v>42856</v>
      </c>
      <c r="G1" s="278">
        <v>42887</v>
      </c>
      <c r="H1" s="278">
        <v>42917</v>
      </c>
      <c r="I1" s="278">
        <v>42948</v>
      </c>
      <c r="J1" s="278">
        <v>42979</v>
      </c>
      <c r="K1" s="278">
        <v>43009</v>
      </c>
      <c r="L1" s="278">
        <v>43040</v>
      </c>
      <c r="M1" s="278">
        <v>43070</v>
      </c>
      <c r="N1" s="279" t="s">
        <v>37</v>
      </c>
    </row>
    <row r="2" spans="1:14" ht="30">
      <c r="A2" s="146" t="s">
        <v>38</v>
      </c>
      <c r="B2" s="281">
        <f>691.9+540.6+249.8+360.1</f>
        <v>1842.4</v>
      </c>
      <c r="C2" s="281">
        <f>684.3+498.5+353.2</f>
        <v>1536</v>
      </c>
      <c r="D2" s="281">
        <f>331+684.3</f>
        <v>1015.3</v>
      </c>
      <c r="E2" s="281">
        <f>253.3+655</f>
        <v>908.3</v>
      </c>
      <c r="F2" s="281"/>
      <c r="G2" s="281"/>
      <c r="H2" s="281"/>
      <c r="I2" s="281"/>
      <c r="J2" s="281"/>
      <c r="K2" s="281">
        <v>705.1</v>
      </c>
      <c r="L2" s="281"/>
      <c r="M2" s="281">
        <v>658.8</v>
      </c>
      <c r="N2" s="282">
        <f>SUM(B2:M2)</f>
        <v>6665.9000000000005</v>
      </c>
    </row>
    <row r="3" spans="1:14" ht="15.75" thickBot="1">
      <c r="A3" s="146" t="s">
        <v>39</v>
      </c>
      <c r="B3" s="260"/>
      <c r="C3" s="260">
        <v>274.39999999999998</v>
      </c>
      <c r="D3" s="260">
        <f>324.6+254.4</f>
        <v>579</v>
      </c>
      <c r="E3" s="260">
        <v>272.2</v>
      </c>
      <c r="F3" s="260"/>
      <c r="G3" s="260"/>
      <c r="H3" s="260"/>
      <c r="I3" s="260"/>
      <c r="J3" s="260"/>
      <c r="K3" s="260">
        <f>233.2</f>
        <v>233.2</v>
      </c>
      <c r="L3" s="260">
        <v>601.4</v>
      </c>
      <c r="M3" s="260"/>
      <c r="N3" s="261">
        <f>SUM(B3:M3)</f>
        <v>1960.1999999999998</v>
      </c>
    </row>
    <row r="4" spans="1:14" ht="16.5" thickTop="1" thickBot="1">
      <c r="A4" s="280" t="s">
        <v>45</v>
      </c>
      <c r="B4" s="275">
        <f>SUM(B2:B3)</f>
        <v>1842.4</v>
      </c>
      <c r="C4" s="275">
        <f t="shared" ref="C4:N4" si="0">SUM(C2:C3)</f>
        <v>1810.4</v>
      </c>
      <c r="D4" s="275">
        <f t="shared" si="0"/>
        <v>1594.3</v>
      </c>
      <c r="E4" s="275">
        <f t="shared" si="0"/>
        <v>1180.5</v>
      </c>
      <c r="F4" s="275">
        <f t="shared" si="0"/>
        <v>0</v>
      </c>
      <c r="G4" s="275">
        <f t="shared" si="0"/>
        <v>0</v>
      </c>
      <c r="H4" s="275">
        <f t="shared" si="0"/>
        <v>0</v>
      </c>
      <c r="I4" s="275">
        <f t="shared" si="0"/>
        <v>0</v>
      </c>
      <c r="J4" s="275">
        <f t="shared" si="0"/>
        <v>0</v>
      </c>
      <c r="K4" s="275">
        <f t="shared" si="0"/>
        <v>938.3</v>
      </c>
      <c r="L4" s="275">
        <f t="shared" si="0"/>
        <v>601.4</v>
      </c>
      <c r="M4" s="275">
        <f t="shared" si="0"/>
        <v>658.8</v>
      </c>
      <c r="N4" s="276">
        <f t="shared" si="0"/>
        <v>8626.1</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N4"/>
  <sheetViews>
    <sheetView showGridLines="0" workbookViewId="0">
      <selection sqref="A1:XFD1048576"/>
    </sheetView>
  </sheetViews>
  <sheetFormatPr defaultColWidth="8.85546875" defaultRowHeight="15"/>
  <cols>
    <col min="1" max="1" width="26.85546875" style="17" customWidth="1"/>
    <col min="2" max="13" width="8.85546875" style="17"/>
    <col min="14" max="14" width="12.7109375" style="17" customWidth="1"/>
    <col min="15" max="16384" width="8.85546875" style="17"/>
  </cols>
  <sheetData>
    <row r="1" spans="1:14">
      <c r="A1" s="277" t="s">
        <v>36</v>
      </c>
      <c r="B1" s="278">
        <v>43101</v>
      </c>
      <c r="C1" s="278">
        <v>43132</v>
      </c>
      <c r="D1" s="278">
        <v>43160</v>
      </c>
      <c r="E1" s="278">
        <v>43191</v>
      </c>
      <c r="F1" s="278">
        <v>43221</v>
      </c>
      <c r="G1" s="278">
        <v>43252</v>
      </c>
      <c r="H1" s="278">
        <v>43282</v>
      </c>
      <c r="I1" s="278">
        <v>43313</v>
      </c>
      <c r="J1" s="278">
        <v>43344</v>
      </c>
      <c r="K1" s="278">
        <v>43374</v>
      </c>
      <c r="L1" s="278">
        <v>43405</v>
      </c>
      <c r="M1" s="278">
        <v>43435</v>
      </c>
      <c r="N1" s="279" t="s">
        <v>37</v>
      </c>
    </row>
    <row r="2" spans="1:14" ht="30">
      <c r="A2" s="146" t="s">
        <v>38</v>
      </c>
      <c r="B2" s="281">
        <f>243+355.9+293.9+614.9</f>
        <v>1507.6999999999998</v>
      </c>
      <c r="C2" s="281">
        <f>354+465.4</f>
        <v>819.4</v>
      </c>
      <c r="D2" s="281">
        <f>295.7+187.5+358.2</f>
        <v>841.4</v>
      </c>
      <c r="E2" s="281">
        <v>538.79999999999995</v>
      </c>
      <c r="F2" s="281"/>
      <c r="G2" s="281"/>
      <c r="H2" s="281"/>
      <c r="I2" s="281"/>
      <c r="J2" s="281"/>
      <c r="K2" s="281">
        <v>606</v>
      </c>
      <c r="L2" s="281"/>
      <c r="M2" s="281"/>
      <c r="N2" s="282">
        <f>SUM(B2:M2)</f>
        <v>4313.3</v>
      </c>
    </row>
    <row r="3" spans="1:14" ht="15.75" thickBot="1">
      <c r="A3" s="146" t="s">
        <v>39</v>
      </c>
      <c r="B3" s="260">
        <f>325.1+601.4</f>
        <v>926.5</v>
      </c>
      <c r="C3" s="260">
        <v>310.10000000000002</v>
      </c>
      <c r="D3" s="260">
        <v>183.4</v>
      </c>
      <c r="E3" s="260"/>
      <c r="F3" s="260"/>
      <c r="G3" s="260"/>
      <c r="H3" s="260"/>
      <c r="I3" s="260"/>
      <c r="J3" s="260"/>
      <c r="K3" s="260"/>
      <c r="L3" s="260"/>
      <c r="M3" s="260"/>
      <c r="N3" s="261">
        <f>SUM(B3:M3)</f>
        <v>1420</v>
      </c>
    </row>
    <row r="4" spans="1:14" ht="16.5" thickTop="1" thickBot="1">
      <c r="A4" s="280" t="s">
        <v>45</v>
      </c>
      <c r="B4" s="275">
        <f>SUM(B2:B3)</f>
        <v>2434.1999999999998</v>
      </c>
      <c r="C4" s="275">
        <f t="shared" ref="C4:N4" si="0">SUM(C2:C3)</f>
        <v>1129.5</v>
      </c>
      <c r="D4" s="275">
        <f t="shared" si="0"/>
        <v>1024.8</v>
      </c>
      <c r="E4" s="275">
        <f t="shared" si="0"/>
        <v>538.79999999999995</v>
      </c>
      <c r="F4" s="275">
        <f t="shared" si="0"/>
        <v>0</v>
      </c>
      <c r="G4" s="275">
        <f t="shared" si="0"/>
        <v>0</v>
      </c>
      <c r="H4" s="275">
        <f t="shared" si="0"/>
        <v>0</v>
      </c>
      <c r="I4" s="275">
        <f t="shared" si="0"/>
        <v>0</v>
      </c>
      <c r="J4" s="275">
        <f t="shared" si="0"/>
        <v>0</v>
      </c>
      <c r="K4" s="275">
        <f t="shared" si="0"/>
        <v>606</v>
      </c>
      <c r="L4" s="275">
        <f t="shared" si="0"/>
        <v>0</v>
      </c>
      <c r="M4" s="275">
        <f t="shared" si="0"/>
        <v>0</v>
      </c>
      <c r="N4" s="276">
        <f t="shared" si="0"/>
        <v>5733.3</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N4"/>
  <sheetViews>
    <sheetView showGridLines="0" workbookViewId="0">
      <selection activeCell="A15" sqref="A15"/>
    </sheetView>
  </sheetViews>
  <sheetFormatPr defaultColWidth="8.85546875" defaultRowHeight="15"/>
  <cols>
    <col min="1" max="1" width="26.85546875" style="17" customWidth="1"/>
    <col min="2" max="13" width="8.85546875" style="17"/>
    <col min="14" max="14" width="12.7109375" style="17" customWidth="1"/>
    <col min="15" max="16384" width="8.85546875" style="17"/>
  </cols>
  <sheetData>
    <row r="1" spans="1:14">
      <c r="A1" s="277" t="s">
        <v>36</v>
      </c>
      <c r="B1" s="278">
        <v>43466</v>
      </c>
      <c r="C1" s="278">
        <v>43497</v>
      </c>
      <c r="D1" s="278">
        <v>43525</v>
      </c>
      <c r="E1" s="278">
        <v>43556</v>
      </c>
      <c r="F1" s="278">
        <v>43586</v>
      </c>
      <c r="G1" s="278">
        <v>43617</v>
      </c>
      <c r="H1" s="278">
        <v>43647</v>
      </c>
      <c r="I1" s="278">
        <v>43678</v>
      </c>
      <c r="J1" s="278">
        <v>43709</v>
      </c>
      <c r="K1" s="278">
        <v>43739</v>
      </c>
      <c r="L1" s="278">
        <v>43770</v>
      </c>
      <c r="M1" s="278">
        <v>43800</v>
      </c>
      <c r="N1" s="279" t="s">
        <v>37</v>
      </c>
    </row>
    <row r="2" spans="1:14" ht="30">
      <c r="A2" s="146" t="s">
        <v>38</v>
      </c>
      <c r="B2" s="281">
        <f>547+464</f>
        <v>1011</v>
      </c>
      <c r="C2" s="281">
        <f>514+580+351</f>
        <v>1445</v>
      </c>
      <c r="D2" s="281">
        <f>539</f>
        <v>539</v>
      </c>
      <c r="E2" s="281">
        <f>266+265</f>
        <v>531</v>
      </c>
      <c r="F2" s="281"/>
      <c r="G2" s="281"/>
      <c r="H2" s="281"/>
      <c r="I2" s="281"/>
      <c r="J2" s="281"/>
      <c r="K2" s="281">
        <v>746</v>
      </c>
      <c r="L2" s="281">
        <f>319+269</f>
        <v>588</v>
      </c>
      <c r="M2" s="281">
        <v>818</v>
      </c>
      <c r="N2" s="282">
        <f>SUM(B2:M2)</f>
        <v>5678</v>
      </c>
    </row>
    <row r="3" spans="1:14" ht="15.75" thickBot="1">
      <c r="A3" s="146" t="s">
        <v>39</v>
      </c>
      <c r="B3" s="260">
        <v>295</v>
      </c>
      <c r="C3" s="260"/>
      <c r="D3" s="260"/>
      <c r="E3" s="260"/>
      <c r="F3" s="260"/>
      <c r="G3" s="260"/>
      <c r="H3" s="260"/>
      <c r="I3" s="260"/>
      <c r="J3" s="260"/>
      <c r="K3" s="260"/>
      <c r="L3" s="260">
        <v>734</v>
      </c>
      <c r="M3" s="260">
        <v>632</v>
      </c>
      <c r="N3" s="261">
        <f>SUM(B3:M3)</f>
        <v>1661</v>
      </c>
    </row>
    <row r="4" spans="1:14" ht="16.5" thickTop="1" thickBot="1">
      <c r="A4" s="280" t="s">
        <v>45</v>
      </c>
      <c r="B4" s="275">
        <f>SUM(B2:B3)</f>
        <v>1306</v>
      </c>
      <c r="C4" s="275">
        <f t="shared" ref="C4:N4" si="0">SUM(C2:C3)</f>
        <v>1445</v>
      </c>
      <c r="D4" s="275">
        <f t="shared" si="0"/>
        <v>539</v>
      </c>
      <c r="E4" s="275">
        <f t="shared" si="0"/>
        <v>531</v>
      </c>
      <c r="F4" s="275">
        <f t="shared" si="0"/>
        <v>0</v>
      </c>
      <c r="G4" s="275">
        <f t="shared" si="0"/>
        <v>0</v>
      </c>
      <c r="H4" s="275">
        <f t="shared" si="0"/>
        <v>0</v>
      </c>
      <c r="I4" s="275">
        <f t="shared" si="0"/>
        <v>0</v>
      </c>
      <c r="J4" s="275">
        <f t="shared" si="0"/>
        <v>0</v>
      </c>
      <c r="K4" s="275">
        <f t="shared" si="0"/>
        <v>746</v>
      </c>
      <c r="L4" s="275">
        <f t="shared" si="0"/>
        <v>1322</v>
      </c>
      <c r="M4" s="275">
        <f t="shared" si="0"/>
        <v>1450</v>
      </c>
      <c r="N4" s="276">
        <f t="shared" si="0"/>
        <v>7339</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4"/>
  <sheetViews>
    <sheetView workbookViewId="0">
      <selection activeCell="M4" sqref="M4"/>
    </sheetView>
  </sheetViews>
  <sheetFormatPr defaultColWidth="8.85546875" defaultRowHeight="15"/>
  <cols>
    <col min="1" max="1" width="26.85546875" style="17" customWidth="1"/>
    <col min="2" max="13" width="8.85546875" style="17"/>
    <col min="14" max="14" width="12.7109375" style="17" customWidth="1"/>
    <col min="15" max="16384" width="8.85546875" style="17"/>
  </cols>
  <sheetData>
    <row r="1" spans="1:14">
      <c r="A1" s="277" t="s">
        <v>36</v>
      </c>
      <c r="B1" s="278">
        <v>43831</v>
      </c>
      <c r="C1" s="278">
        <v>43862</v>
      </c>
      <c r="D1" s="278">
        <v>43891</v>
      </c>
      <c r="E1" s="278">
        <v>43922</v>
      </c>
      <c r="F1" s="278">
        <v>43952</v>
      </c>
      <c r="G1" s="278">
        <v>43983</v>
      </c>
      <c r="H1" s="278">
        <v>44013</v>
      </c>
      <c r="I1" s="278">
        <v>44044</v>
      </c>
      <c r="J1" s="278">
        <v>44075</v>
      </c>
      <c r="K1" s="278">
        <v>44105</v>
      </c>
      <c r="L1" s="278">
        <v>44136</v>
      </c>
      <c r="M1" s="278">
        <v>44166</v>
      </c>
      <c r="N1" s="279" t="s">
        <v>37</v>
      </c>
    </row>
    <row r="2" spans="1:14" ht="30">
      <c r="A2" s="146" t="s">
        <v>38</v>
      </c>
      <c r="B2" s="281"/>
      <c r="C2" s="281">
        <f>379.5+722</f>
        <v>1101.5</v>
      </c>
      <c r="D2" s="281">
        <v>558.6</v>
      </c>
      <c r="E2" s="281">
        <f>572.5+363+127.9</f>
        <v>1063.4000000000001</v>
      </c>
      <c r="F2" s="281"/>
      <c r="G2" s="281"/>
      <c r="H2" s="281"/>
      <c r="I2" s="281"/>
      <c r="J2" s="281"/>
      <c r="K2" s="281">
        <f>210.5+364.4</f>
        <v>574.9</v>
      </c>
      <c r="L2" s="281">
        <v>399.2</v>
      </c>
      <c r="M2" s="281">
        <f>616.3+303.8</f>
        <v>920.09999999999991</v>
      </c>
      <c r="N2" s="282">
        <f>SUM(B2:M2)</f>
        <v>4617.7</v>
      </c>
    </row>
    <row r="3" spans="1:14" ht="15.75" thickBot="1">
      <c r="A3" s="146" t="s">
        <v>39</v>
      </c>
      <c r="B3" s="260"/>
      <c r="C3" s="260"/>
      <c r="D3" s="260">
        <f>869.9</f>
        <v>869.9</v>
      </c>
      <c r="E3" s="260"/>
      <c r="F3" s="260"/>
      <c r="G3" s="260"/>
      <c r="H3" s="260"/>
      <c r="I3" s="260"/>
      <c r="J3" s="260"/>
      <c r="K3" s="260"/>
      <c r="L3" s="260"/>
      <c r="M3" s="260">
        <f>568.9+869.9</f>
        <v>1438.8</v>
      </c>
      <c r="N3" s="261">
        <f>SUM(B3:M3)</f>
        <v>2308.6999999999998</v>
      </c>
    </row>
    <row r="4" spans="1:14" ht="16.5" thickTop="1" thickBot="1">
      <c r="A4" s="280" t="s">
        <v>45</v>
      </c>
      <c r="B4" s="275">
        <f>SUM(B2:B3)</f>
        <v>0</v>
      </c>
      <c r="C4" s="275">
        <f t="shared" ref="C4:N4" si="0">SUM(C2:C3)</f>
        <v>1101.5</v>
      </c>
      <c r="D4" s="275">
        <f t="shared" si="0"/>
        <v>1428.5</v>
      </c>
      <c r="E4" s="275">
        <f t="shared" si="0"/>
        <v>1063.4000000000001</v>
      </c>
      <c r="F4" s="275">
        <f t="shared" si="0"/>
        <v>0</v>
      </c>
      <c r="G4" s="275">
        <f t="shared" si="0"/>
        <v>0</v>
      </c>
      <c r="H4" s="275">
        <f t="shared" si="0"/>
        <v>0</v>
      </c>
      <c r="I4" s="275">
        <f t="shared" si="0"/>
        <v>0</v>
      </c>
      <c r="J4" s="275">
        <f t="shared" si="0"/>
        <v>0</v>
      </c>
      <c r="K4" s="275">
        <f t="shared" si="0"/>
        <v>574.9</v>
      </c>
      <c r="L4" s="275">
        <f t="shared" si="0"/>
        <v>399.2</v>
      </c>
      <c r="M4" s="275">
        <f t="shared" si="0"/>
        <v>2358.8999999999996</v>
      </c>
      <c r="N4" s="276">
        <f t="shared" si="0"/>
        <v>6926.4</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N4"/>
  <sheetViews>
    <sheetView workbookViewId="0">
      <selection activeCell="C2" sqref="C2"/>
    </sheetView>
  </sheetViews>
  <sheetFormatPr defaultColWidth="8.85546875" defaultRowHeight="15"/>
  <cols>
    <col min="1" max="1" width="26.85546875" style="17" customWidth="1"/>
    <col min="2" max="13" width="8.85546875" style="17"/>
    <col min="14" max="14" width="12.7109375" style="17" customWidth="1"/>
    <col min="15" max="16384" width="8.85546875" style="17"/>
  </cols>
  <sheetData>
    <row r="1" spans="1:14">
      <c r="A1" s="277" t="s">
        <v>36</v>
      </c>
      <c r="B1" s="278">
        <v>44197</v>
      </c>
      <c r="C1" s="278">
        <v>44228</v>
      </c>
      <c r="D1" s="278">
        <v>44256</v>
      </c>
      <c r="E1" s="278">
        <v>44287</v>
      </c>
      <c r="F1" s="278">
        <v>44317</v>
      </c>
      <c r="G1" s="278">
        <v>44348</v>
      </c>
      <c r="H1" s="278">
        <v>44378</v>
      </c>
      <c r="I1" s="278">
        <v>44409</v>
      </c>
      <c r="J1" s="278">
        <v>44440</v>
      </c>
      <c r="K1" s="278">
        <v>44470</v>
      </c>
      <c r="L1" s="278">
        <v>44501</v>
      </c>
      <c r="M1" s="278">
        <v>44531</v>
      </c>
      <c r="N1" s="279" t="s">
        <v>37</v>
      </c>
    </row>
    <row r="2" spans="1:14" ht="30">
      <c r="A2" s="146" t="s">
        <v>38</v>
      </c>
      <c r="B2" s="281">
        <f>129.8+278.6+251+539.8+303.8</f>
        <v>1503</v>
      </c>
      <c r="C2" s="281">
        <f>539.8+117.9+161+431.4</f>
        <v>1250.0999999999999</v>
      </c>
      <c r="D2" s="281">
        <f>160.6+377.7+277.9</f>
        <v>816.19999999999993</v>
      </c>
      <c r="E2" s="281">
        <f>78.1+403.8</f>
        <v>481.9</v>
      </c>
      <c r="F2" s="281"/>
      <c r="G2" s="281"/>
      <c r="H2" s="281"/>
      <c r="I2" s="281"/>
      <c r="J2" s="281"/>
      <c r="K2" s="281">
        <f>620.5</f>
        <v>620.5</v>
      </c>
      <c r="L2" s="281">
        <f>157.4</f>
        <v>157.4</v>
      </c>
      <c r="M2" s="281">
        <f>718.4+743.4</f>
        <v>1461.8</v>
      </c>
      <c r="N2" s="282">
        <f>SUM(B2:M2)</f>
        <v>6290.9</v>
      </c>
    </row>
    <row r="3" spans="1:14" ht="15.75" thickBot="1">
      <c r="A3" s="146" t="s">
        <v>39</v>
      </c>
      <c r="B3" s="260">
        <f>568.9</f>
        <v>568.9</v>
      </c>
      <c r="C3" s="260"/>
      <c r="D3" s="260">
        <f>467.7</f>
        <v>467.7</v>
      </c>
      <c r="E3" s="260"/>
      <c r="F3" s="260"/>
      <c r="G3" s="260"/>
      <c r="H3" s="260"/>
      <c r="I3" s="260"/>
      <c r="J3" s="260"/>
      <c r="K3" s="260"/>
      <c r="L3" s="260"/>
      <c r="M3" s="260"/>
      <c r="N3" s="261">
        <f>SUM(B3:M3)</f>
        <v>1036.5999999999999</v>
      </c>
    </row>
    <row r="4" spans="1:14" ht="16.5" thickTop="1" thickBot="1">
      <c r="A4" s="280" t="s">
        <v>45</v>
      </c>
      <c r="B4" s="275">
        <f>SUM(B2:B3)</f>
        <v>2071.9</v>
      </c>
      <c r="C4" s="275">
        <f t="shared" ref="C4:N4" si="0">SUM(C2:C3)</f>
        <v>1250.0999999999999</v>
      </c>
      <c r="D4" s="275">
        <f t="shared" si="0"/>
        <v>1283.8999999999999</v>
      </c>
      <c r="E4" s="275">
        <f t="shared" si="0"/>
        <v>481.9</v>
      </c>
      <c r="F4" s="275">
        <f t="shared" si="0"/>
        <v>0</v>
      </c>
      <c r="G4" s="275">
        <f t="shared" si="0"/>
        <v>0</v>
      </c>
      <c r="H4" s="275">
        <f t="shared" si="0"/>
        <v>0</v>
      </c>
      <c r="I4" s="275">
        <f t="shared" si="0"/>
        <v>0</v>
      </c>
      <c r="J4" s="275">
        <f t="shared" si="0"/>
        <v>0</v>
      </c>
      <c r="K4" s="275">
        <f t="shared" si="0"/>
        <v>620.5</v>
      </c>
      <c r="L4" s="275">
        <f t="shared" si="0"/>
        <v>157.4</v>
      </c>
      <c r="M4" s="275">
        <f t="shared" si="0"/>
        <v>1461.8</v>
      </c>
      <c r="N4" s="276">
        <f t="shared" si="0"/>
        <v>7327.5</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N4"/>
  <sheetViews>
    <sheetView workbookViewId="0">
      <selection activeCell="M3" sqref="M3"/>
    </sheetView>
  </sheetViews>
  <sheetFormatPr defaultRowHeight="15"/>
  <cols>
    <col min="1" max="1" width="26.85546875" customWidth="1"/>
    <col min="2" max="13" width="8.85546875"/>
    <col min="14" max="14" width="12.7109375" customWidth="1"/>
  </cols>
  <sheetData>
    <row r="1" spans="1:14">
      <c r="A1" s="277" t="s">
        <v>36</v>
      </c>
      <c r="B1" s="278">
        <v>44562</v>
      </c>
      <c r="C1" s="278">
        <v>44593</v>
      </c>
      <c r="D1" s="278">
        <v>44621</v>
      </c>
      <c r="E1" s="278">
        <v>44652</v>
      </c>
      <c r="F1" s="278">
        <v>44682</v>
      </c>
      <c r="G1" s="278">
        <v>44713</v>
      </c>
      <c r="H1" s="278">
        <v>44743</v>
      </c>
      <c r="I1" s="278">
        <v>44774</v>
      </c>
      <c r="J1" s="278">
        <v>44805</v>
      </c>
      <c r="K1" s="278">
        <v>44835</v>
      </c>
      <c r="L1" s="278">
        <v>44866</v>
      </c>
      <c r="M1" s="278">
        <v>44896</v>
      </c>
      <c r="N1" s="279" t="s">
        <v>37</v>
      </c>
    </row>
    <row r="2" spans="1:14" ht="30">
      <c r="A2" s="146" t="s">
        <v>38</v>
      </c>
      <c r="B2" s="281">
        <f>636.4+390.4+516.3</f>
        <v>1543.1</v>
      </c>
      <c r="C2" s="281">
        <f>285</f>
        <v>285</v>
      </c>
      <c r="D2" s="281">
        <f>303.2+430.5+852.1</f>
        <v>1585.8000000000002</v>
      </c>
      <c r="E2" s="281">
        <f>404.4</f>
        <v>404.4</v>
      </c>
      <c r="F2" s="281"/>
      <c r="G2" s="281"/>
      <c r="H2" s="281"/>
      <c r="I2" s="281"/>
      <c r="J2" s="281"/>
      <c r="K2" s="281"/>
      <c r="L2" s="281">
        <f>707.7</f>
        <v>707.7</v>
      </c>
      <c r="M2" s="281">
        <f>816.9+517</f>
        <v>1333.9</v>
      </c>
      <c r="N2" s="282">
        <f>SUM(B2:M2)</f>
        <v>5859.9</v>
      </c>
    </row>
    <row r="3" spans="1:14" ht="15.75" thickBot="1">
      <c r="A3" s="146" t="s">
        <v>39</v>
      </c>
      <c r="B3" s="260"/>
      <c r="C3" s="260"/>
      <c r="D3" s="260"/>
      <c r="E3" s="260"/>
      <c r="F3" s="260"/>
      <c r="G3" s="260"/>
      <c r="H3" s="260"/>
      <c r="I3" s="260"/>
      <c r="J3" s="260"/>
      <c r="K3" s="260"/>
      <c r="L3" s="260"/>
      <c r="M3" s="260"/>
      <c r="N3" s="261">
        <f>SUM(B3:M3)</f>
        <v>0</v>
      </c>
    </row>
    <row r="4" spans="1:14" ht="16.5" thickTop="1" thickBot="1">
      <c r="A4" s="280" t="s">
        <v>45</v>
      </c>
      <c r="B4" s="275">
        <f>SUM(B2:B3)</f>
        <v>1543.1</v>
      </c>
      <c r="C4" s="275">
        <f t="shared" ref="C4:N4" si="0">SUM(C2:C3)</f>
        <v>285</v>
      </c>
      <c r="D4" s="275">
        <f t="shared" si="0"/>
        <v>1585.8000000000002</v>
      </c>
      <c r="E4" s="275">
        <f t="shared" si="0"/>
        <v>404.4</v>
      </c>
      <c r="F4" s="275">
        <f t="shared" si="0"/>
        <v>0</v>
      </c>
      <c r="G4" s="275">
        <f t="shared" si="0"/>
        <v>0</v>
      </c>
      <c r="H4" s="275">
        <f t="shared" si="0"/>
        <v>0</v>
      </c>
      <c r="I4" s="275">
        <f t="shared" si="0"/>
        <v>0</v>
      </c>
      <c r="J4" s="275">
        <f t="shared" si="0"/>
        <v>0</v>
      </c>
      <c r="K4" s="275">
        <f t="shared" si="0"/>
        <v>0</v>
      </c>
      <c r="L4" s="275">
        <f t="shared" si="0"/>
        <v>707.7</v>
      </c>
      <c r="M4" s="275">
        <f t="shared" si="0"/>
        <v>1333.9</v>
      </c>
      <c r="N4" s="276">
        <f t="shared" si="0"/>
        <v>5859.9</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N3"/>
  <sheetViews>
    <sheetView workbookViewId="0">
      <selection activeCell="N1" sqref="N1"/>
    </sheetView>
  </sheetViews>
  <sheetFormatPr defaultColWidth="8.85546875" defaultRowHeight="15" customHeight="1"/>
  <cols>
    <col min="1" max="1" width="21.28515625" customWidth="1"/>
    <col min="14" max="14" width="12.42578125" customWidth="1"/>
  </cols>
  <sheetData>
    <row r="1" spans="1:14" ht="15" customHeight="1">
      <c r="A1" s="147" t="s">
        <v>36</v>
      </c>
      <c r="B1" s="149">
        <v>42005</v>
      </c>
      <c r="C1" s="149">
        <v>42036</v>
      </c>
      <c r="D1" s="149">
        <v>42064</v>
      </c>
      <c r="E1" s="149">
        <v>42095</v>
      </c>
      <c r="F1" s="149">
        <v>42125</v>
      </c>
      <c r="G1" s="149">
        <v>42156</v>
      </c>
      <c r="H1" s="149">
        <v>42186</v>
      </c>
      <c r="I1" s="149">
        <v>42217</v>
      </c>
      <c r="J1" s="149">
        <v>42248</v>
      </c>
      <c r="K1" s="149">
        <v>42278</v>
      </c>
      <c r="L1" s="149">
        <v>42309</v>
      </c>
      <c r="M1" s="149">
        <v>42339</v>
      </c>
      <c r="N1" s="148" t="s">
        <v>37</v>
      </c>
    </row>
    <row r="2" spans="1:14" ht="15" customHeight="1" thickBot="1">
      <c r="A2" s="139" t="s">
        <v>40</v>
      </c>
      <c r="B2" s="260">
        <f>498.3+542.1</f>
        <v>1040.4000000000001</v>
      </c>
      <c r="C2" s="260"/>
      <c r="D2" s="260">
        <v>474.8</v>
      </c>
      <c r="E2" s="260"/>
      <c r="F2" s="260"/>
      <c r="G2" s="260"/>
      <c r="H2" s="260"/>
      <c r="I2" s="260"/>
      <c r="J2" s="260"/>
      <c r="K2" s="260"/>
      <c r="L2" s="260"/>
      <c r="M2" s="260"/>
      <c r="N2" s="261">
        <f>SUM(B2:M2)</f>
        <v>1515.2</v>
      </c>
    </row>
    <row r="3" spans="1:14" ht="15" customHeight="1" thickTop="1" thickBot="1">
      <c r="A3" s="150" t="s">
        <v>113</v>
      </c>
      <c r="B3" s="262">
        <f>SUM(B2)</f>
        <v>1040.4000000000001</v>
      </c>
      <c r="C3" s="262">
        <f t="shared" ref="C3:N3" si="0">SUM(C2)</f>
        <v>0</v>
      </c>
      <c r="D3" s="262">
        <f t="shared" si="0"/>
        <v>474.8</v>
      </c>
      <c r="E3" s="262">
        <f t="shared" si="0"/>
        <v>0</v>
      </c>
      <c r="F3" s="262">
        <f t="shared" si="0"/>
        <v>0</v>
      </c>
      <c r="G3" s="262">
        <f t="shared" si="0"/>
        <v>0</v>
      </c>
      <c r="H3" s="262">
        <f t="shared" si="0"/>
        <v>0</v>
      </c>
      <c r="I3" s="262">
        <f t="shared" si="0"/>
        <v>0</v>
      </c>
      <c r="J3" s="262">
        <f t="shared" si="0"/>
        <v>0</v>
      </c>
      <c r="K3" s="262">
        <f t="shared" si="0"/>
        <v>0</v>
      </c>
      <c r="L3" s="262">
        <f t="shared" si="0"/>
        <v>0</v>
      </c>
      <c r="M3" s="262">
        <f t="shared" si="0"/>
        <v>0</v>
      </c>
      <c r="N3" s="263">
        <f t="shared" si="0"/>
        <v>1515.2</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N3"/>
  <sheetViews>
    <sheetView workbookViewId="0">
      <selection activeCell="N1" sqref="N1"/>
    </sheetView>
  </sheetViews>
  <sheetFormatPr defaultColWidth="8.85546875" defaultRowHeight="15"/>
  <cols>
    <col min="1" max="1" width="21.28515625" style="17" customWidth="1"/>
    <col min="2" max="13" width="8.85546875" style="17"/>
    <col min="14" max="14" width="12.42578125" style="17" customWidth="1"/>
    <col min="15" max="16384" width="8.85546875" style="17"/>
  </cols>
  <sheetData>
    <row r="1" spans="1:14">
      <c r="A1" s="284" t="s">
        <v>36</v>
      </c>
      <c r="B1" s="149">
        <v>42370</v>
      </c>
      <c r="C1" s="149">
        <v>42401</v>
      </c>
      <c r="D1" s="149">
        <v>42430</v>
      </c>
      <c r="E1" s="149">
        <v>42461</v>
      </c>
      <c r="F1" s="149">
        <v>42491</v>
      </c>
      <c r="G1" s="149">
        <v>42522</v>
      </c>
      <c r="H1" s="149">
        <v>42552</v>
      </c>
      <c r="I1" s="149">
        <v>42583</v>
      </c>
      <c r="J1" s="149">
        <v>42614</v>
      </c>
      <c r="K1" s="149">
        <v>42644</v>
      </c>
      <c r="L1" s="149">
        <v>42675</v>
      </c>
      <c r="M1" s="149">
        <v>42705</v>
      </c>
      <c r="N1" s="148" t="s">
        <v>37</v>
      </c>
    </row>
    <row r="2" spans="1:14" ht="15" customHeight="1" thickBot="1">
      <c r="A2" s="285" t="s">
        <v>40</v>
      </c>
      <c r="B2" s="260"/>
      <c r="C2" s="260"/>
      <c r="D2" s="260">
        <v>396.6</v>
      </c>
      <c r="E2" s="260">
        <v>375.8</v>
      </c>
      <c r="F2" s="260"/>
      <c r="G2" s="260"/>
      <c r="H2" s="260"/>
      <c r="I2" s="260"/>
      <c r="J2" s="260"/>
      <c r="K2" s="260"/>
      <c r="L2" s="260">
        <v>478.7</v>
      </c>
      <c r="M2" s="260"/>
      <c r="N2" s="261">
        <f>SUM(B2:M2)</f>
        <v>1251.1000000000001</v>
      </c>
    </row>
    <row r="3" spans="1:14" ht="16.5" thickTop="1" thickBot="1">
      <c r="A3" s="150" t="s">
        <v>113</v>
      </c>
      <c r="B3" s="262">
        <f>SUM(B2)</f>
        <v>0</v>
      </c>
      <c r="C3" s="262">
        <f t="shared" ref="C3:N3" si="0">SUM(C2)</f>
        <v>0</v>
      </c>
      <c r="D3" s="262">
        <f t="shared" si="0"/>
        <v>396.6</v>
      </c>
      <c r="E3" s="262">
        <f t="shared" si="0"/>
        <v>375.8</v>
      </c>
      <c r="F3" s="262">
        <f t="shared" si="0"/>
        <v>0</v>
      </c>
      <c r="G3" s="262">
        <f t="shared" si="0"/>
        <v>0</v>
      </c>
      <c r="H3" s="262">
        <f t="shared" si="0"/>
        <v>0</v>
      </c>
      <c r="I3" s="262">
        <f t="shared" si="0"/>
        <v>0</v>
      </c>
      <c r="J3" s="262">
        <f t="shared" si="0"/>
        <v>0</v>
      </c>
      <c r="K3" s="262">
        <f t="shared" si="0"/>
        <v>0</v>
      </c>
      <c r="L3" s="262">
        <f t="shared" si="0"/>
        <v>478.7</v>
      </c>
      <c r="M3" s="262">
        <f t="shared" si="0"/>
        <v>0</v>
      </c>
      <c r="N3" s="263">
        <f t="shared" si="0"/>
        <v>1251.1000000000001</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N3"/>
  <sheetViews>
    <sheetView workbookViewId="0">
      <selection activeCell="N1" sqref="N1"/>
    </sheetView>
  </sheetViews>
  <sheetFormatPr defaultColWidth="8.85546875" defaultRowHeight="15"/>
  <cols>
    <col min="1" max="1" width="21.28515625" style="17" customWidth="1"/>
    <col min="2" max="13" width="8.85546875" style="17"/>
    <col min="14" max="14" width="12.42578125" style="17" customWidth="1"/>
    <col min="15" max="16384" width="8.85546875" style="17"/>
  </cols>
  <sheetData>
    <row r="1" spans="1:14">
      <c r="A1" s="284" t="s">
        <v>36</v>
      </c>
      <c r="B1" s="286">
        <v>42736</v>
      </c>
      <c r="C1" s="286">
        <v>42767</v>
      </c>
      <c r="D1" s="286">
        <v>42795</v>
      </c>
      <c r="E1" s="286">
        <v>42826</v>
      </c>
      <c r="F1" s="286">
        <v>42856</v>
      </c>
      <c r="G1" s="286">
        <v>42887</v>
      </c>
      <c r="H1" s="286">
        <v>42917</v>
      </c>
      <c r="I1" s="286">
        <v>42948</v>
      </c>
      <c r="J1" s="286">
        <v>42979</v>
      </c>
      <c r="K1" s="286">
        <v>43009</v>
      </c>
      <c r="L1" s="286">
        <v>43040</v>
      </c>
      <c r="M1" s="286">
        <v>43070</v>
      </c>
      <c r="N1" s="287" t="s">
        <v>37</v>
      </c>
    </row>
    <row r="2" spans="1:14" ht="16.5" customHeight="1" thickBot="1">
      <c r="A2" s="285" t="s">
        <v>40</v>
      </c>
      <c r="B2" s="260">
        <v>389.3</v>
      </c>
      <c r="C2" s="260">
        <v>362.5</v>
      </c>
      <c r="D2" s="260">
        <v>484.6</v>
      </c>
      <c r="E2" s="260">
        <v>487.7</v>
      </c>
      <c r="F2" s="260"/>
      <c r="G2" s="260"/>
      <c r="H2" s="260"/>
      <c r="I2" s="260"/>
      <c r="J2" s="260"/>
      <c r="K2" s="260">
        <v>194.1</v>
      </c>
      <c r="L2" s="260"/>
      <c r="M2" s="260">
        <v>436.9</v>
      </c>
      <c r="N2" s="261">
        <f>SUM(B2:M2)</f>
        <v>2355.1</v>
      </c>
    </row>
    <row r="3" spans="1:14" ht="16.5" thickTop="1" thickBot="1">
      <c r="A3" s="150" t="s">
        <v>113</v>
      </c>
      <c r="B3" s="262">
        <f>SUM(B2)</f>
        <v>389.3</v>
      </c>
      <c r="C3" s="262">
        <f t="shared" ref="C3:N3" si="0">SUM(C2)</f>
        <v>362.5</v>
      </c>
      <c r="D3" s="262">
        <f t="shared" si="0"/>
        <v>484.6</v>
      </c>
      <c r="E3" s="262">
        <f t="shared" si="0"/>
        <v>487.7</v>
      </c>
      <c r="F3" s="262">
        <f t="shared" si="0"/>
        <v>0</v>
      </c>
      <c r="G3" s="262">
        <f t="shared" si="0"/>
        <v>0</v>
      </c>
      <c r="H3" s="262">
        <f t="shared" si="0"/>
        <v>0</v>
      </c>
      <c r="I3" s="262">
        <f t="shared" si="0"/>
        <v>0</v>
      </c>
      <c r="J3" s="262">
        <f t="shared" si="0"/>
        <v>0</v>
      </c>
      <c r="K3" s="262">
        <f t="shared" si="0"/>
        <v>194.1</v>
      </c>
      <c r="L3" s="262">
        <f t="shared" si="0"/>
        <v>0</v>
      </c>
      <c r="M3" s="262">
        <f t="shared" si="0"/>
        <v>436.9</v>
      </c>
      <c r="N3" s="263">
        <f t="shared" si="0"/>
        <v>2355.1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
  <sheetViews>
    <sheetView showGridLines="0" workbookViewId="0">
      <selection activeCell="N1" sqref="N1"/>
    </sheetView>
  </sheetViews>
  <sheetFormatPr defaultColWidth="8.85546875" defaultRowHeight="15"/>
  <cols>
    <col min="1" max="1" width="24.7109375" style="17" customWidth="1"/>
    <col min="2" max="5" width="10.7109375" style="17" bestFit="1" customWidth="1"/>
    <col min="6" max="6" width="10.42578125" style="17" customWidth="1"/>
    <col min="7" max="13" width="10.7109375" style="17" bestFit="1" customWidth="1"/>
    <col min="14" max="14" width="12.7109375" style="17" customWidth="1"/>
    <col min="15" max="16384" width="8.85546875" style="17"/>
  </cols>
  <sheetData>
    <row r="1" spans="1:14" ht="15.75" thickBot="1">
      <c r="A1" s="1" t="s">
        <v>0</v>
      </c>
      <c r="B1" s="2">
        <v>40544</v>
      </c>
      <c r="C1" s="2">
        <v>40575</v>
      </c>
      <c r="D1" s="2">
        <v>40603</v>
      </c>
      <c r="E1" s="2">
        <v>40634</v>
      </c>
      <c r="F1" s="2">
        <v>40664</v>
      </c>
      <c r="G1" s="2">
        <v>40695</v>
      </c>
      <c r="H1" s="2">
        <v>40725</v>
      </c>
      <c r="I1" s="2">
        <v>40756</v>
      </c>
      <c r="J1" s="2">
        <v>40787</v>
      </c>
      <c r="K1" s="2">
        <v>40817</v>
      </c>
      <c r="L1" s="2">
        <v>40848</v>
      </c>
      <c r="M1" s="2">
        <v>40878</v>
      </c>
      <c r="N1" s="36" t="s">
        <v>130</v>
      </c>
    </row>
    <row r="2" spans="1:14">
      <c r="A2" s="62"/>
      <c r="B2" s="32"/>
      <c r="C2" s="32"/>
      <c r="D2" s="32"/>
      <c r="E2" s="32"/>
      <c r="F2" s="32"/>
      <c r="G2" s="32"/>
      <c r="H2" s="32"/>
      <c r="I2" s="32"/>
      <c r="J2" s="32"/>
      <c r="K2" s="32"/>
      <c r="L2" s="32"/>
      <c r="M2" s="32"/>
      <c r="N2" s="46"/>
    </row>
    <row r="3" spans="1:14" ht="15.75" thickBot="1">
      <c r="A3" s="6" t="s">
        <v>1</v>
      </c>
      <c r="B3" s="32"/>
      <c r="C3" s="32"/>
      <c r="D3" s="32"/>
      <c r="E3" s="32"/>
      <c r="F3" s="32"/>
      <c r="G3" s="32"/>
      <c r="H3" s="32"/>
      <c r="I3" s="32"/>
      <c r="J3" s="32"/>
      <c r="K3" s="32"/>
      <c r="L3" s="32"/>
      <c r="M3" s="32"/>
      <c r="N3" s="46"/>
    </row>
    <row r="4" spans="1:14" ht="30">
      <c r="A4" s="28" t="s">
        <v>55</v>
      </c>
      <c r="B4" s="184">
        <v>1280458</v>
      </c>
      <c r="C4" s="184">
        <v>1253685</v>
      </c>
      <c r="D4" s="184">
        <v>1188788</v>
      </c>
      <c r="E4" s="184">
        <v>1049011</v>
      </c>
      <c r="F4" s="184">
        <v>831236</v>
      </c>
      <c r="G4" s="184">
        <v>1037381</v>
      </c>
      <c r="H4" s="184">
        <v>1408414</v>
      </c>
      <c r="I4" s="184">
        <v>1304780</v>
      </c>
      <c r="J4" s="184">
        <v>1464286</v>
      </c>
      <c r="K4" s="184">
        <v>1267494</v>
      </c>
      <c r="L4" s="184">
        <v>1777737</v>
      </c>
      <c r="M4" s="184">
        <v>1806990</v>
      </c>
      <c r="N4" s="176">
        <f t="shared" ref="N4:N8" si="0">SUM(B4:M4)</f>
        <v>15670260</v>
      </c>
    </row>
    <row r="5" spans="1:14">
      <c r="A5" s="33" t="s">
        <v>2</v>
      </c>
      <c r="B5" s="178">
        <v>94821</v>
      </c>
      <c r="C5" s="178">
        <v>81314</v>
      </c>
      <c r="D5" s="178">
        <v>66821</v>
      </c>
      <c r="E5" s="178">
        <v>52397</v>
      </c>
      <c r="F5" s="178">
        <v>49277</v>
      </c>
      <c r="G5" s="178">
        <v>48195</v>
      </c>
      <c r="H5" s="178">
        <v>54960</v>
      </c>
      <c r="I5" s="178">
        <v>49732</v>
      </c>
      <c r="J5" s="178">
        <v>52326</v>
      </c>
      <c r="K5" s="178">
        <v>57293</v>
      </c>
      <c r="L5" s="178">
        <v>65361</v>
      </c>
      <c r="M5" s="178">
        <v>76983</v>
      </c>
      <c r="N5" s="177">
        <f t="shared" si="0"/>
        <v>749480</v>
      </c>
    </row>
    <row r="6" spans="1:14">
      <c r="A6" s="33" t="s">
        <v>57</v>
      </c>
      <c r="B6" s="107">
        <v>1168</v>
      </c>
      <c r="C6" s="107">
        <v>1059</v>
      </c>
      <c r="D6" s="107">
        <v>871</v>
      </c>
      <c r="E6" s="107">
        <v>543</v>
      </c>
      <c r="F6" s="107">
        <v>234</v>
      </c>
      <c r="G6" s="107">
        <v>112</v>
      </c>
      <c r="H6" s="107">
        <v>68</v>
      </c>
      <c r="I6" s="107">
        <v>103</v>
      </c>
      <c r="J6" s="107">
        <v>295</v>
      </c>
      <c r="K6" s="107">
        <v>741</v>
      </c>
      <c r="L6" s="107">
        <v>954</v>
      </c>
      <c r="M6" s="107">
        <v>1336</v>
      </c>
      <c r="N6" s="177">
        <f t="shared" si="0"/>
        <v>7484</v>
      </c>
    </row>
    <row r="7" spans="1:14">
      <c r="A7" s="33" t="s">
        <v>58</v>
      </c>
      <c r="B7" s="107">
        <v>3786</v>
      </c>
      <c r="C7" s="107">
        <v>4065</v>
      </c>
      <c r="D7" s="107">
        <v>3972</v>
      </c>
      <c r="E7" s="107">
        <v>2812</v>
      </c>
      <c r="F7" s="107">
        <v>1796</v>
      </c>
      <c r="G7" s="107">
        <v>1349</v>
      </c>
      <c r="H7" s="107">
        <v>1230</v>
      </c>
      <c r="I7" s="107">
        <v>990</v>
      </c>
      <c r="J7" s="107">
        <v>1090</v>
      </c>
      <c r="K7" s="107">
        <v>1901</v>
      </c>
      <c r="L7" s="107">
        <v>2701</v>
      </c>
      <c r="M7" s="107">
        <v>2669</v>
      </c>
      <c r="N7" s="177">
        <f t="shared" si="0"/>
        <v>28361</v>
      </c>
    </row>
    <row r="8" spans="1:14" ht="15.75" thickBot="1">
      <c r="A8" s="81" t="s">
        <v>59</v>
      </c>
      <c r="B8" s="156">
        <v>0</v>
      </c>
      <c r="C8" s="156">
        <v>0</v>
      </c>
      <c r="D8" s="156">
        <v>0</v>
      </c>
      <c r="E8" s="156">
        <v>0</v>
      </c>
      <c r="F8" s="156">
        <v>34</v>
      </c>
      <c r="G8" s="156">
        <v>1</v>
      </c>
      <c r="H8" s="156">
        <v>2</v>
      </c>
      <c r="I8" s="156">
        <v>0</v>
      </c>
      <c r="J8" s="156">
        <v>0</v>
      </c>
      <c r="K8" s="156">
        <v>0</v>
      </c>
      <c r="L8" s="156">
        <v>0</v>
      </c>
      <c r="M8" s="156">
        <v>0</v>
      </c>
      <c r="N8" s="180">
        <f t="shared" si="0"/>
        <v>37</v>
      </c>
    </row>
    <row r="9" spans="1:14" ht="16.5" thickTop="1" thickBot="1">
      <c r="A9" s="12" t="s">
        <v>45</v>
      </c>
      <c r="B9" s="191">
        <f t="shared" ref="B9:N9" si="1">SUM(B4:B8)</f>
        <v>1380233</v>
      </c>
      <c r="C9" s="191">
        <f t="shared" si="1"/>
        <v>1340123</v>
      </c>
      <c r="D9" s="191">
        <f t="shared" si="1"/>
        <v>1260452</v>
      </c>
      <c r="E9" s="191">
        <f t="shared" si="1"/>
        <v>1104763</v>
      </c>
      <c r="F9" s="191">
        <f t="shared" si="1"/>
        <v>882577</v>
      </c>
      <c r="G9" s="191">
        <f t="shared" si="1"/>
        <v>1087038</v>
      </c>
      <c r="H9" s="191">
        <f t="shared" si="1"/>
        <v>1464674</v>
      </c>
      <c r="I9" s="191">
        <f t="shared" si="1"/>
        <v>1355605</v>
      </c>
      <c r="J9" s="191">
        <f t="shared" si="1"/>
        <v>1517997</v>
      </c>
      <c r="K9" s="191">
        <f t="shared" si="1"/>
        <v>1327429</v>
      </c>
      <c r="L9" s="191">
        <f t="shared" si="1"/>
        <v>1846753</v>
      </c>
      <c r="M9" s="191">
        <f t="shared" si="1"/>
        <v>1887978</v>
      </c>
      <c r="N9" s="192">
        <f t="shared" si="1"/>
        <v>16455622</v>
      </c>
    </row>
    <row r="10" spans="1:14">
      <c r="A10" s="62"/>
      <c r="B10" s="193"/>
      <c r="C10" s="193"/>
      <c r="D10" s="193"/>
      <c r="E10" s="193"/>
      <c r="F10" s="193"/>
      <c r="G10" s="193"/>
      <c r="H10" s="193"/>
      <c r="I10" s="193"/>
      <c r="J10" s="193"/>
      <c r="K10" s="193"/>
      <c r="L10" s="193"/>
      <c r="M10" s="193"/>
      <c r="N10" s="193"/>
    </row>
    <row r="11" spans="1:14" ht="15.75" thickBot="1">
      <c r="A11" s="6" t="s">
        <v>15</v>
      </c>
      <c r="B11" s="183"/>
      <c r="C11" s="183"/>
      <c r="D11" s="183"/>
      <c r="E11" s="183"/>
      <c r="F11" s="183"/>
      <c r="G11" s="183"/>
      <c r="H11" s="183"/>
      <c r="I11" s="183"/>
      <c r="J11" s="183"/>
      <c r="K11" s="183"/>
      <c r="L11" s="183"/>
      <c r="M11" s="183"/>
      <c r="N11" s="183"/>
    </row>
    <row r="12" spans="1:14">
      <c r="A12" s="86" t="s">
        <v>97</v>
      </c>
      <c r="B12" s="184">
        <v>1011</v>
      </c>
      <c r="C12" s="184">
        <v>851</v>
      </c>
      <c r="D12" s="184">
        <v>948</v>
      </c>
      <c r="E12" s="184">
        <v>874</v>
      </c>
      <c r="F12" s="184">
        <v>693</v>
      </c>
      <c r="G12" s="184">
        <v>444</v>
      </c>
      <c r="H12" s="184">
        <v>852</v>
      </c>
      <c r="I12" s="184">
        <v>581</v>
      </c>
      <c r="J12" s="184">
        <v>497</v>
      </c>
      <c r="K12" s="184">
        <f>527</f>
        <v>527</v>
      </c>
      <c r="L12" s="184">
        <f>25956-25311</f>
        <v>645</v>
      </c>
      <c r="M12" s="184">
        <f>26589-25956</f>
        <v>633</v>
      </c>
      <c r="N12" s="176">
        <f t="shared" ref="N12:N17" si="2">SUM(B12:M12)</f>
        <v>8556</v>
      </c>
    </row>
    <row r="13" spans="1:14">
      <c r="A13" s="25" t="s">
        <v>98</v>
      </c>
      <c r="B13" s="178">
        <v>8120</v>
      </c>
      <c r="C13" s="178">
        <v>9640</v>
      </c>
      <c r="D13" s="178">
        <v>5200</v>
      </c>
      <c r="E13" s="178">
        <v>4000</v>
      </c>
      <c r="F13" s="178">
        <v>1520</v>
      </c>
      <c r="G13" s="178">
        <v>40</v>
      </c>
      <c r="H13" s="178">
        <v>0</v>
      </c>
      <c r="I13" s="178">
        <v>0</v>
      </c>
      <c r="J13" s="178">
        <f>0</f>
        <v>0</v>
      </c>
      <c r="K13" s="178">
        <v>600</v>
      </c>
      <c r="L13" s="178">
        <f>(803-741)*40</f>
        <v>2480</v>
      </c>
      <c r="M13" s="178">
        <f>(918-803)*40</f>
        <v>4600</v>
      </c>
      <c r="N13" s="177">
        <f t="shared" si="2"/>
        <v>36200</v>
      </c>
    </row>
    <row r="14" spans="1:14">
      <c r="A14" s="25" t="s">
        <v>85</v>
      </c>
      <c r="B14" s="178">
        <v>4056</v>
      </c>
      <c r="C14" s="178">
        <v>3963</v>
      </c>
      <c r="D14" s="178">
        <v>4237</v>
      </c>
      <c r="E14" s="178">
        <v>3018</v>
      </c>
      <c r="F14" s="178">
        <v>1584</v>
      </c>
      <c r="G14" s="178">
        <v>1173</v>
      </c>
      <c r="H14" s="178">
        <v>954</v>
      </c>
      <c r="I14" s="178">
        <v>835</v>
      </c>
      <c r="J14" s="178">
        <v>1056</v>
      </c>
      <c r="K14" s="178">
        <v>1556</v>
      </c>
      <c r="L14" s="178">
        <v>2168</v>
      </c>
      <c r="M14" s="178">
        <f>36424-33219</f>
        <v>3205</v>
      </c>
      <c r="N14" s="177">
        <f t="shared" si="2"/>
        <v>27805</v>
      </c>
    </row>
    <row r="15" spans="1:14">
      <c r="A15" s="25" t="s">
        <v>99</v>
      </c>
      <c r="B15" s="178">
        <v>491</v>
      </c>
      <c r="C15" s="178">
        <v>484</v>
      </c>
      <c r="D15" s="178">
        <v>566</v>
      </c>
      <c r="E15" s="178">
        <v>653</v>
      </c>
      <c r="F15" s="178">
        <v>713</v>
      </c>
      <c r="G15" s="178">
        <v>825</v>
      </c>
      <c r="H15" s="178">
        <v>771</v>
      </c>
      <c r="I15" s="178">
        <v>837</v>
      </c>
      <c r="J15" s="178">
        <v>818</v>
      </c>
      <c r="K15" s="178">
        <v>823</v>
      </c>
      <c r="L15" s="178">
        <v>763</v>
      </c>
      <c r="M15" s="178">
        <f>24998-24374</f>
        <v>624</v>
      </c>
      <c r="N15" s="177">
        <f t="shared" si="2"/>
        <v>8368</v>
      </c>
    </row>
    <row r="16" spans="1:14" ht="15.75" thickBot="1">
      <c r="A16" s="25" t="s">
        <v>100</v>
      </c>
      <c r="B16" s="179">
        <v>116000</v>
      </c>
      <c r="C16" s="179">
        <v>132800</v>
      </c>
      <c r="D16" s="179">
        <v>83200</v>
      </c>
      <c r="E16" s="179">
        <v>65600</v>
      </c>
      <c r="F16" s="179">
        <v>44800</v>
      </c>
      <c r="G16" s="179">
        <v>28800</v>
      </c>
      <c r="H16" s="179">
        <v>25600</v>
      </c>
      <c r="I16" s="179">
        <v>26400</v>
      </c>
      <c r="J16" s="179">
        <v>31200</v>
      </c>
      <c r="K16" s="179">
        <v>30400</v>
      </c>
      <c r="L16" s="179">
        <f>49600</f>
        <v>49600</v>
      </c>
      <c r="M16" s="179">
        <f>(9322-9226)*800</f>
        <v>76800</v>
      </c>
      <c r="N16" s="180">
        <f t="shared" si="2"/>
        <v>711200</v>
      </c>
    </row>
    <row r="17" spans="1:14" ht="16.5" thickTop="1" thickBot="1">
      <c r="A17" s="59" t="s">
        <v>46</v>
      </c>
      <c r="B17" s="185">
        <f t="shared" ref="B17:M17" si="3">SUM(B12:B16)</f>
        <v>129678</v>
      </c>
      <c r="C17" s="185">
        <f t="shared" si="3"/>
        <v>147738</v>
      </c>
      <c r="D17" s="185">
        <f t="shared" si="3"/>
        <v>94151</v>
      </c>
      <c r="E17" s="185">
        <f t="shared" si="3"/>
        <v>74145</v>
      </c>
      <c r="F17" s="185">
        <f t="shared" si="3"/>
        <v>49310</v>
      </c>
      <c r="G17" s="185">
        <f t="shared" si="3"/>
        <v>31282</v>
      </c>
      <c r="H17" s="185">
        <f t="shared" si="3"/>
        <v>28177</v>
      </c>
      <c r="I17" s="185">
        <f t="shared" si="3"/>
        <v>28653</v>
      </c>
      <c r="J17" s="185">
        <f t="shared" si="3"/>
        <v>33571</v>
      </c>
      <c r="K17" s="185">
        <f t="shared" si="3"/>
        <v>33906</v>
      </c>
      <c r="L17" s="185">
        <f t="shared" si="3"/>
        <v>55656</v>
      </c>
      <c r="M17" s="185">
        <f t="shared" si="3"/>
        <v>85862</v>
      </c>
      <c r="N17" s="186">
        <f t="shared" si="2"/>
        <v>792129</v>
      </c>
    </row>
    <row r="18" spans="1:14" ht="30" thickTop="1" thickBot="1">
      <c r="A18" s="12" t="s">
        <v>50</v>
      </c>
      <c r="B18" s="181">
        <f t="shared" ref="B18:N18" si="4">B9+B17</f>
        <v>1509911</v>
      </c>
      <c r="C18" s="181">
        <f t="shared" si="4"/>
        <v>1487861</v>
      </c>
      <c r="D18" s="181">
        <f t="shared" si="4"/>
        <v>1354603</v>
      </c>
      <c r="E18" s="181">
        <f t="shared" si="4"/>
        <v>1178908</v>
      </c>
      <c r="F18" s="181">
        <f t="shared" si="4"/>
        <v>931887</v>
      </c>
      <c r="G18" s="181">
        <f t="shared" si="4"/>
        <v>1118320</v>
      </c>
      <c r="H18" s="181">
        <f t="shared" si="4"/>
        <v>1492851</v>
      </c>
      <c r="I18" s="181">
        <f t="shared" si="4"/>
        <v>1384258</v>
      </c>
      <c r="J18" s="181">
        <f t="shared" si="4"/>
        <v>1551568</v>
      </c>
      <c r="K18" s="181">
        <f t="shared" si="4"/>
        <v>1361335</v>
      </c>
      <c r="L18" s="181">
        <f t="shared" si="4"/>
        <v>1902409</v>
      </c>
      <c r="M18" s="181">
        <f t="shared" si="4"/>
        <v>1973840</v>
      </c>
      <c r="N18" s="187">
        <f t="shared" si="4"/>
        <v>17247751</v>
      </c>
    </row>
    <row r="19" spans="1:14" ht="15.75" thickBot="1">
      <c r="A19" s="46"/>
      <c r="B19" s="193"/>
      <c r="C19" s="193"/>
      <c r="D19" s="193"/>
      <c r="E19" s="193"/>
      <c r="F19" s="193"/>
      <c r="G19" s="193"/>
      <c r="H19" s="193"/>
      <c r="I19" s="193"/>
      <c r="J19" s="193"/>
      <c r="K19" s="193"/>
      <c r="L19" s="193"/>
      <c r="M19" s="193"/>
      <c r="N19" s="193"/>
    </row>
    <row r="20" spans="1:14" ht="15.75" thickBot="1">
      <c r="A20" s="67" t="s">
        <v>20</v>
      </c>
      <c r="B20" s="194">
        <v>47203</v>
      </c>
      <c r="C20" s="194">
        <v>42444</v>
      </c>
      <c r="D20" s="194">
        <v>48442</v>
      </c>
      <c r="E20" s="194">
        <v>42235</v>
      </c>
      <c r="F20" s="194">
        <v>40970</v>
      </c>
      <c r="G20" s="194">
        <v>44189</v>
      </c>
      <c r="H20" s="194">
        <v>51279</v>
      </c>
      <c r="I20" s="194">
        <v>45674</v>
      </c>
      <c r="J20" s="194">
        <v>46316</v>
      </c>
      <c r="K20" s="194">
        <v>43619</v>
      </c>
      <c r="L20" s="194">
        <v>47165</v>
      </c>
      <c r="M20" s="194">
        <v>43258</v>
      </c>
      <c r="N20" s="195">
        <f>SUM(B20:M20)</f>
        <v>542794</v>
      </c>
    </row>
    <row r="21" spans="1:14" ht="15.75" thickBot="1">
      <c r="B21" s="159"/>
      <c r="C21" s="159"/>
      <c r="D21" s="159"/>
      <c r="E21" s="159"/>
      <c r="F21" s="159"/>
      <c r="G21" s="159"/>
      <c r="H21" s="159"/>
      <c r="I21" s="159"/>
      <c r="J21" s="159"/>
      <c r="K21" s="159"/>
      <c r="L21" s="159"/>
      <c r="M21" s="159"/>
      <c r="N21" s="159"/>
    </row>
    <row r="22" spans="1:14">
      <c r="A22" s="24" t="s">
        <v>16</v>
      </c>
      <c r="B22" s="161">
        <f t="shared" ref="B22:M22" si="5">B18+B20</f>
        <v>1557114</v>
      </c>
      <c r="C22" s="161">
        <f t="shared" si="5"/>
        <v>1530305</v>
      </c>
      <c r="D22" s="161">
        <f t="shared" si="5"/>
        <v>1403045</v>
      </c>
      <c r="E22" s="161">
        <f t="shared" si="5"/>
        <v>1221143</v>
      </c>
      <c r="F22" s="161">
        <f t="shared" si="5"/>
        <v>972857</v>
      </c>
      <c r="G22" s="161">
        <f t="shared" si="5"/>
        <v>1162509</v>
      </c>
      <c r="H22" s="161">
        <f t="shared" si="5"/>
        <v>1544130</v>
      </c>
      <c r="I22" s="161">
        <f t="shared" si="5"/>
        <v>1429932</v>
      </c>
      <c r="J22" s="161">
        <f t="shared" si="5"/>
        <v>1597884</v>
      </c>
      <c r="K22" s="161">
        <f t="shared" si="5"/>
        <v>1404954</v>
      </c>
      <c r="L22" s="161">
        <f t="shared" si="5"/>
        <v>1949574</v>
      </c>
      <c r="M22" s="161">
        <f t="shared" si="5"/>
        <v>2017098</v>
      </c>
      <c r="N22" s="190">
        <f>SUM(B22:M22)</f>
        <v>17790545</v>
      </c>
    </row>
    <row r="23" spans="1:14">
      <c r="A23" s="26" t="s">
        <v>17</v>
      </c>
      <c r="B23" s="162">
        <f>1497383-755558</f>
        <v>741825</v>
      </c>
      <c r="C23" s="162">
        <f>1895572-755558</f>
        <v>1140014</v>
      </c>
      <c r="D23" s="162">
        <v>0</v>
      </c>
      <c r="E23" s="162">
        <v>137704</v>
      </c>
      <c r="F23" s="162">
        <v>662030</v>
      </c>
      <c r="G23" s="162">
        <v>607801</v>
      </c>
      <c r="H23" s="162">
        <v>386593</v>
      </c>
      <c r="I23" s="162">
        <v>541152</v>
      </c>
      <c r="J23" s="162">
        <v>296341</v>
      </c>
      <c r="K23" s="162">
        <v>264125</v>
      </c>
      <c r="L23" s="162" t="s">
        <v>42</v>
      </c>
      <c r="M23" s="162" t="s">
        <v>42</v>
      </c>
      <c r="N23" s="163">
        <f>SUM(B23:M23)</f>
        <v>4777585</v>
      </c>
    </row>
    <row r="24" spans="1:14" ht="15.75" thickBot="1">
      <c r="A24" s="20" t="s">
        <v>48</v>
      </c>
      <c r="B24" s="164">
        <f>B22+B23</f>
        <v>2298939</v>
      </c>
      <c r="C24" s="164">
        <f t="shared" ref="C24:N24" si="6">C22+C23</f>
        <v>2670319</v>
      </c>
      <c r="D24" s="164">
        <f t="shared" si="6"/>
        <v>1403045</v>
      </c>
      <c r="E24" s="164">
        <f t="shared" si="6"/>
        <v>1358847</v>
      </c>
      <c r="F24" s="164">
        <f t="shared" si="6"/>
        <v>1634887</v>
      </c>
      <c r="G24" s="164">
        <f t="shared" si="6"/>
        <v>1770310</v>
      </c>
      <c r="H24" s="164">
        <f t="shared" si="6"/>
        <v>1930723</v>
      </c>
      <c r="I24" s="164">
        <f t="shared" si="6"/>
        <v>1971084</v>
      </c>
      <c r="J24" s="164">
        <f t="shared" si="6"/>
        <v>1894225</v>
      </c>
      <c r="K24" s="164">
        <f t="shared" si="6"/>
        <v>1669079</v>
      </c>
      <c r="L24" s="164">
        <f>L22</f>
        <v>1949574</v>
      </c>
      <c r="M24" s="164">
        <f>M22</f>
        <v>2017098</v>
      </c>
      <c r="N24" s="169">
        <f t="shared" si="6"/>
        <v>22568130</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N3"/>
  <sheetViews>
    <sheetView showGridLines="0" workbookViewId="0">
      <selection sqref="A1:N3"/>
    </sheetView>
  </sheetViews>
  <sheetFormatPr defaultColWidth="8.85546875" defaultRowHeight="15"/>
  <cols>
    <col min="1" max="1" width="21.28515625" style="17" customWidth="1"/>
    <col min="2" max="13" width="8.85546875" style="17"/>
    <col min="14" max="14" width="12.42578125" style="17" customWidth="1"/>
    <col min="15" max="16384" width="8.85546875" style="17"/>
  </cols>
  <sheetData>
    <row r="1" spans="1:14">
      <c r="A1" s="147" t="s">
        <v>36</v>
      </c>
      <c r="B1" s="149">
        <v>43101</v>
      </c>
      <c r="C1" s="149">
        <v>43132</v>
      </c>
      <c r="D1" s="149">
        <v>43160</v>
      </c>
      <c r="E1" s="149">
        <v>43191</v>
      </c>
      <c r="F1" s="149">
        <v>43221</v>
      </c>
      <c r="G1" s="149">
        <v>43252</v>
      </c>
      <c r="H1" s="149">
        <v>43282</v>
      </c>
      <c r="I1" s="149">
        <v>43313</v>
      </c>
      <c r="J1" s="149">
        <v>43344</v>
      </c>
      <c r="K1" s="149">
        <v>43374</v>
      </c>
      <c r="L1" s="149">
        <v>43405</v>
      </c>
      <c r="M1" s="149">
        <v>43435</v>
      </c>
      <c r="N1" s="148" t="s">
        <v>37</v>
      </c>
    </row>
    <row r="2" spans="1:14" ht="13.5" customHeight="1" thickBot="1">
      <c r="A2" s="139" t="s">
        <v>40</v>
      </c>
      <c r="B2" s="260">
        <v>609.6</v>
      </c>
      <c r="C2" s="260">
        <v>501.8</v>
      </c>
      <c r="D2" s="260"/>
      <c r="E2" s="260">
        <v>405.6</v>
      </c>
      <c r="F2" s="260"/>
      <c r="G2" s="260"/>
      <c r="H2" s="260"/>
      <c r="I2" s="260"/>
      <c r="J2" s="260"/>
      <c r="K2" s="260">
        <v>307.60000000000002</v>
      </c>
      <c r="L2" s="260"/>
      <c r="M2" s="260">
        <v>395.1</v>
      </c>
      <c r="N2" s="261">
        <f>SUM(B2:M2)</f>
        <v>2219.6999999999998</v>
      </c>
    </row>
    <row r="3" spans="1:14" ht="16.5" thickTop="1" thickBot="1">
      <c r="A3" s="150" t="s">
        <v>113</v>
      </c>
      <c r="B3" s="262">
        <f>SUM(B2)</f>
        <v>609.6</v>
      </c>
      <c r="C3" s="262">
        <f t="shared" ref="C3:N3" si="0">SUM(C2)</f>
        <v>501.8</v>
      </c>
      <c r="D3" s="262">
        <f t="shared" si="0"/>
        <v>0</v>
      </c>
      <c r="E3" s="262">
        <f t="shared" si="0"/>
        <v>405.6</v>
      </c>
      <c r="F3" s="262">
        <f t="shared" si="0"/>
        <v>0</v>
      </c>
      <c r="G3" s="262">
        <f t="shared" si="0"/>
        <v>0</v>
      </c>
      <c r="H3" s="262">
        <f t="shared" si="0"/>
        <v>0</v>
      </c>
      <c r="I3" s="262">
        <f t="shared" si="0"/>
        <v>0</v>
      </c>
      <c r="J3" s="262">
        <f t="shared" si="0"/>
        <v>0</v>
      </c>
      <c r="K3" s="262">
        <f t="shared" si="0"/>
        <v>307.60000000000002</v>
      </c>
      <c r="L3" s="262">
        <f t="shared" si="0"/>
        <v>0</v>
      </c>
      <c r="M3" s="262">
        <f t="shared" si="0"/>
        <v>395.1</v>
      </c>
      <c r="N3" s="263">
        <f t="shared" si="0"/>
        <v>2219.6999999999998</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N3"/>
  <sheetViews>
    <sheetView showGridLines="0" workbookViewId="0">
      <selection activeCell="B2" sqref="B2:M2"/>
    </sheetView>
  </sheetViews>
  <sheetFormatPr defaultRowHeight="15"/>
  <cols>
    <col min="1" max="1" width="17.7109375" customWidth="1"/>
  </cols>
  <sheetData>
    <row r="1" spans="1:14" ht="28.5">
      <c r="A1" s="147" t="s">
        <v>36</v>
      </c>
      <c r="B1" s="149">
        <v>43466</v>
      </c>
      <c r="C1" s="149">
        <v>43497</v>
      </c>
      <c r="D1" s="149">
        <v>43525</v>
      </c>
      <c r="E1" s="149">
        <v>43556</v>
      </c>
      <c r="F1" s="149">
        <v>43586</v>
      </c>
      <c r="G1" s="149">
        <v>43617</v>
      </c>
      <c r="H1" s="149">
        <v>43647</v>
      </c>
      <c r="I1" s="149">
        <v>43678</v>
      </c>
      <c r="J1" s="149">
        <v>43709</v>
      </c>
      <c r="K1" s="149">
        <v>43739</v>
      </c>
      <c r="L1" s="149">
        <v>43770</v>
      </c>
      <c r="M1" s="149">
        <v>43800</v>
      </c>
      <c r="N1" s="148" t="s">
        <v>37</v>
      </c>
    </row>
    <row r="2" spans="1:14" ht="30.75" thickBot="1">
      <c r="A2" s="139" t="s">
        <v>40</v>
      </c>
      <c r="B2" s="260">
        <v>464.5</v>
      </c>
      <c r="C2" s="260">
        <v>654.20000000000005</v>
      </c>
      <c r="D2" s="260">
        <v>440.4</v>
      </c>
      <c r="E2" s="260">
        <v>420.6</v>
      </c>
      <c r="F2" s="260"/>
      <c r="G2" s="260"/>
      <c r="H2" s="260"/>
      <c r="I2" s="260"/>
      <c r="J2" s="260"/>
      <c r="K2" s="260">
        <v>187.1</v>
      </c>
      <c r="L2" s="260"/>
      <c r="M2" s="260">
        <v>427.9</v>
      </c>
      <c r="N2" s="261">
        <f>SUM(B2:M2)</f>
        <v>2594.6999999999998</v>
      </c>
    </row>
    <row r="3" spans="1:14" ht="16.5" thickTop="1" thickBot="1">
      <c r="A3" s="150" t="s">
        <v>113</v>
      </c>
      <c r="B3" s="262">
        <f>SUM(B2)</f>
        <v>464.5</v>
      </c>
      <c r="C3" s="262">
        <f t="shared" ref="C3:N3" si="0">SUM(C2)</f>
        <v>654.20000000000005</v>
      </c>
      <c r="D3" s="262">
        <f t="shared" si="0"/>
        <v>440.4</v>
      </c>
      <c r="E3" s="262">
        <f t="shared" si="0"/>
        <v>420.6</v>
      </c>
      <c r="F3" s="262">
        <f t="shared" si="0"/>
        <v>0</v>
      </c>
      <c r="G3" s="262">
        <f t="shared" si="0"/>
        <v>0</v>
      </c>
      <c r="H3" s="262">
        <f t="shared" si="0"/>
        <v>0</v>
      </c>
      <c r="I3" s="262">
        <f t="shared" si="0"/>
        <v>0</v>
      </c>
      <c r="J3" s="262">
        <f t="shared" si="0"/>
        <v>0</v>
      </c>
      <c r="K3" s="262">
        <f t="shared" si="0"/>
        <v>187.1</v>
      </c>
      <c r="L3" s="262">
        <f t="shared" si="0"/>
        <v>0</v>
      </c>
      <c r="M3" s="262">
        <f t="shared" si="0"/>
        <v>427.9</v>
      </c>
      <c r="N3" s="263">
        <f t="shared" si="0"/>
        <v>2594.6999999999998</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3"/>
  <sheetViews>
    <sheetView workbookViewId="0">
      <selection activeCell="E3" sqref="E3"/>
    </sheetView>
  </sheetViews>
  <sheetFormatPr defaultRowHeight="15"/>
  <cols>
    <col min="1" max="1" width="17.7109375" customWidth="1"/>
  </cols>
  <sheetData>
    <row r="1" spans="1:14" ht="28.5">
      <c r="A1" s="147" t="s">
        <v>36</v>
      </c>
      <c r="B1" s="149">
        <v>43831</v>
      </c>
      <c r="C1" s="149">
        <v>43862</v>
      </c>
      <c r="D1" s="149">
        <v>43891</v>
      </c>
      <c r="E1" s="149">
        <v>43922</v>
      </c>
      <c r="F1" s="149">
        <v>43952</v>
      </c>
      <c r="G1" s="149">
        <v>43983</v>
      </c>
      <c r="H1" s="149">
        <v>44013</v>
      </c>
      <c r="I1" s="149">
        <v>44044</v>
      </c>
      <c r="J1" s="149">
        <v>44075</v>
      </c>
      <c r="K1" s="149">
        <v>44105</v>
      </c>
      <c r="L1" s="149">
        <v>44136</v>
      </c>
      <c r="M1" s="149">
        <v>44166</v>
      </c>
      <c r="N1" s="148" t="s">
        <v>37</v>
      </c>
    </row>
    <row r="2" spans="1:14" ht="30.75" thickBot="1">
      <c r="A2" s="139" t="s">
        <v>40</v>
      </c>
      <c r="B2" s="260">
        <f>112.8+255.6</f>
        <v>368.4</v>
      </c>
      <c r="C2" s="260"/>
      <c r="D2" s="260">
        <v>472.2</v>
      </c>
      <c r="E2" s="260">
        <v>36.799999999999997</v>
      </c>
      <c r="F2" s="260"/>
      <c r="G2" s="260"/>
      <c r="H2" s="260"/>
      <c r="I2" s="260"/>
      <c r="J2" s="260"/>
      <c r="K2" s="260"/>
      <c r="L2" s="260"/>
      <c r="M2" s="260"/>
      <c r="N2" s="261">
        <f>SUM(B2:M2)</f>
        <v>877.39999999999986</v>
      </c>
    </row>
    <row r="3" spans="1:14" ht="16.5" thickTop="1" thickBot="1">
      <c r="A3" s="150" t="s">
        <v>113</v>
      </c>
      <c r="B3" s="262">
        <f>SUM(B2)</f>
        <v>368.4</v>
      </c>
      <c r="C3" s="262">
        <f t="shared" ref="C3:N3" si="0">SUM(C2)</f>
        <v>0</v>
      </c>
      <c r="D3" s="262">
        <f t="shared" si="0"/>
        <v>472.2</v>
      </c>
      <c r="E3" s="262">
        <f t="shared" si="0"/>
        <v>36.799999999999997</v>
      </c>
      <c r="F3" s="262">
        <f t="shared" si="0"/>
        <v>0</v>
      </c>
      <c r="G3" s="262">
        <f t="shared" si="0"/>
        <v>0</v>
      </c>
      <c r="H3" s="262">
        <f t="shared" si="0"/>
        <v>0</v>
      </c>
      <c r="I3" s="262">
        <f t="shared" si="0"/>
        <v>0</v>
      </c>
      <c r="J3" s="262">
        <f t="shared" si="0"/>
        <v>0</v>
      </c>
      <c r="K3" s="262">
        <f t="shared" si="0"/>
        <v>0</v>
      </c>
      <c r="L3" s="262">
        <f t="shared" si="0"/>
        <v>0</v>
      </c>
      <c r="M3" s="262">
        <f t="shared" si="0"/>
        <v>0</v>
      </c>
      <c r="N3" s="263">
        <f t="shared" si="0"/>
        <v>877.39999999999986</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N3"/>
  <sheetViews>
    <sheetView workbookViewId="0">
      <selection activeCell="K3" sqref="K3"/>
    </sheetView>
  </sheetViews>
  <sheetFormatPr defaultRowHeight="15"/>
  <sheetData>
    <row r="1" spans="1:14" ht="28.5">
      <c r="A1" s="147" t="s">
        <v>36</v>
      </c>
      <c r="B1" s="149">
        <v>44197</v>
      </c>
      <c r="C1" s="149">
        <v>44228</v>
      </c>
      <c r="D1" s="149">
        <v>44256</v>
      </c>
      <c r="E1" s="149">
        <v>44287</v>
      </c>
      <c r="F1" s="149">
        <v>44317</v>
      </c>
      <c r="G1" s="149">
        <v>44348</v>
      </c>
      <c r="H1" s="149">
        <v>44378</v>
      </c>
      <c r="I1" s="149">
        <v>44409</v>
      </c>
      <c r="J1" s="149">
        <v>44440</v>
      </c>
      <c r="K1" s="149">
        <v>44470</v>
      </c>
      <c r="L1" s="149">
        <v>44501</v>
      </c>
      <c r="M1" s="149">
        <v>44531</v>
      </c>
      <c r="N1" s="148" t="s">
        <v>37</v>
      </c>
    </row>
    <row r="2" spans="1:14" ht="45.75" thickBot="1">
      <c r="A2" s="139" t="s">
        <v>40</v>
      </c>
      <c r="B2" s="260"/>
      <c r="C2" s="260">
        <v>346.8</v>
      </c>
      <c r="D2" s="260">
        <v>276.2</v>
      </c>
      <c r="E2" s="260"/>
      <c r="F2" s="260"/>
      <c r="G2" s="260"/>
      <c r="H2" s="260"/>
      <c r="I2" s="260"/>
      <c r="J2" s="260"/>
      <c r="K2" s="260">
        <f>277.2+325.7</f>
        <v>602.9</v>
      </c>
      <c r="L2" s="260"/>
      <c r="M2" s="260"/>
      <c r="N2" s="261">
        <f>SUM(B2:M2)</f>
        <v>1225.9000000000001</v>
      </c>
    </row>
    <row r="3" spans="1:14" ht="16.5" thickTop="1" thickBot="1">
      <c r="A3" s="150" t="s">
        <v>113</v>
      </c>
      <c r="B3" s="262">
        <f>SUM(B2)</f>
        <v>0</v>
      </c>
      <c r="C3" s="262">
        <f t="shared" ref="C3:N3" si="0">SUM(C2)</f>
        <v>346.8</v>
      </c>
      <c r="D3" s="262">
        <f t="shared" si="0"/>
        <v>276.2</v>
      </c>
      <c r="E3" s="262">
        <f t="shared" si="0"/>
        <v>0</v>
      </c>
      <c r="F3" s="262">
        <f t="shared" si="0"/>
        <v>0</v>
      </c>
      <c r="G3" s="262">
        <f t="shared" si="0"/>
        <v>0</v>
      </c>
      <c r="H3" s="262">
        <f t="shared" si="0"/>
        <v>0</v>
      </c>
      <c r="I3" s="262">
        <f t="shared" si="0"/>
        <v>0</v>
      </c>
      <c r="J3" s="262">
        <f t="shared" si="0"/>
        <v>0</v>
      </c>
      <c r="K3" s="262">
        <f t="shared" si="0"/>
        <v>602.9</v>
      </c>
      <c r="L3" s="262">
        <f t="shared" si="0"/>
        <v>0</v>
      </c>
      <c r="M3" s="262">
        <f t="shared" si="0"/>
        <v>0</v>
      </c>
      <c r="N3" s="263">
        <f t="shared" si="0"/>
        <v>1225.9000000000001</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N3"/>
  <sheetViews>
    <sheetView workbookViewId="0">
      <selection activeCell="C3" sqref="C3"/>
    </sheetView>
  </sheetViews>
  <sheetFormatPr defaultRowHeight="15"/>
  <sheetData>
    <row r="1" spans="1:14" ht="28.5">
      <c r="A1" s="147" t="s">
        <v>36</v>
      </c>
      <c r="B1" s="149">
        <v>44562</v>
      </c>
      <c r="C1" s="149">
        <v>44593</v>
      </c>
      <c r="D1" s="149">
        <v>44621</v>
      </c>
      <c r="E1" s="149">
        <v>44652</v>
      </c>
      <c r="F1" s="149">
        <v>44682</v>
      </c>
      <c r="G1" s="149">
        <v>44713</v>
      </c>
      <c r="H1" s="149">
        <v>44743</v>
      </c>
      <c r="I1" s="149">
        <v>44774</v>
      </c>
      <c r="J1" s="149">
        <v>44805</v>
      </c>
      <c r="K1" s="149">
        <v>44835</v>
      </c>
      <c r="L1" s="149">
        <v>44866</v>
      </c>
      <c r="M1" s="149">
        <v>44896</v>
      </c>
      <c r="N1" s="148" t="s">
        <v>37</v>
      </c>
    </row>
    <row r="2" spans="1:14" ht="45.75" thickBot="1">
      <c r="A2" s="139" t="s">
        <v>40</v>
      </c>
      <c r="B2" s="260">
        <v>414.3</v>
      </c>
      <c r="C2" s="260">
        <v>462.8</v>
      </c>
      <c r="D2" s="260">
        <v>306.89999999999998</v>
      </c>
      <c r="E2" s="260">
        <v>306.89999999999998</v>
      </c>
      <c r="F2" s="260">
        <v>301.5</v>
      </c>
      <c r="G2" s="260"/>
      <c r="H2" s="260"/>
      <c r="I2" s="260"/>
      <c r="J2" s="260"/>
      <c r="K2" s="260"/>
      <c r="L2" s="260"/>
      <c r="M2" s="260"/>
      <c r="N2" s="261">
        <f>SUM(B2:M2)</f>
        <v>1792.4</v>
      </c>
    </row>
    <row r="3" spans="1:14" ht="16.5" thickTop="1" thickBot="1">
      <c r="A3" s="150" t="s">
        <v>113</v>
      </c>
      <c r="B3" s="262">
        <f>SUM(B2)</f>
        <v>414.3</v>
      </c>
      <c r="C3" s="262">
        <f t="shared" ref="C3:N3" si="0">SUM(C2)</f>
        <v>462.8</v>
      </c>
      <c r="D3" s="262">
        <f t="shared" si="0"/>
        <v>306.89999999999998</v>
      </c>
      <c r="E3" s="262">
        <f t="shared" si="0"/>
        <v>306.89999999999998</v>
      </c>
      <c r="F3" s="262">
        <f t="shared" si="0"/>
        <v>301.5</v>
      </c>
      <c r="G3" s="262">
        <f t="shared" si="0"/>
        <v>0</v>
      </c>
      <c r="H3" s="262">
        <f t="shared" si="0"/>
        <v>0</v>
      </c>
      <c r="I3" s="262">
        <f t="shared" si="0"/>
        <v>0</v>
      </c>
      <c r="J3" s="262">
        <f t="shared" si="0"/>
        <v>0</v>
      </c>
      <c r="K3" s="262">
        <f t="shared" si="0"/>
        <v>0</v>
      </c>
      <c r="L3" s="262">
        <f t="shared" si="0"/>
        <v>0</v>
      </c>
      <c r="M3" s="262">
        <f t="shared" si="0"/>
        <v>0</v>
      </c>
      <c r="N3" s="263">
        <f t="shared" si="0"/>
        <v>1792.4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1"/>
  <sheetViews>
    <sheetView showGridLines="0" workbookViewId="0">
      <selection activeCell="N1" sqref="N1"/>
    </sheetView>
  </sheetViews>
  <sheetFormatPr defaultColWidth="8.85546875" defaultRowHeight="15"/>
  <cols>
    <col min="1" max="1" width="24.140625" style="17" customWidth="1"/>
    <col min="2" max="13" width="10.7109375" style="17" bestFit="1" customWidth="1"/>
    <col min="14" max="14" width="11.85546875" style="17" bestFit="1" customWidth="1"/>
    <col min="15" max="16384" width="8.85546875" style="17"/>
  </cols>
  <sheetData>
    <row r="1" spans="1:14" ht="15.75" thickBot="1">
      <c r="A1" s="66" t="s">
        <v>0</v>
      </c>
      <c r="B1" s="68">
        <v>43112</v>
      </c>
      <c r="C1" s="68">
        <v>43143</v>
      </c>
      <c r="D1" s="68">
        <v>43171</v>
      </c>
      <c r="E1" s="68">
        <v>43202</v>
      </c>
      <c r="F1" s="68">
        <v>43232</v>
      </c>
      <c r="G1" s="68">
        <v>43263</v>
      </c>
      <c r="H1" s="68">
        <v>43293</v>
      </c>
      <c r="I1" s="68">
        <v>43324</v>
      </c>
      <c r="J1" s="68">
        <v>43355</v>
      </c>
      <c r="K1" s="68">
        <v>43385</v>
      </c>
      <c r="L1" s="68">
        <v>43416</v>
      </c>
      <c r="M1" s="68">
        <v>43446</v>
      </c>
      <c r="N1" s="36" t="s">
        <v>130</v>
      </c>
    </row>
    <row r="2" spans="1:14">
      <c r="A2" s="19"/>
      <c r="B2" s="63"/>
      <c r="C2" s="63"/>
      <c r="D2" s="63"/>
      <c r="E2" s="63"/>
      <c r="F2" s="63"/>
      <c r="G2" s="63"/>
      <c r="H2" s="63"/>
      <c r="I2" s="63"/>
      <c r="J2" s="63"/>
      <c r="K2" s="63"/>
      <c r="L2" s="63"/>
      <c r="M2" s="63"/>
      <c r="N2" s="19"/>
    </row>
    <row r="3" spans="1:14" ht="15.75" thickBot="1">
      <c r="A3" s="17" t="s">
        <v>1</v>
      </c>
      <c r="B3" s="27"/>
      <c r="C3" s="27"/>
      <c r="D3" s="27"/>
      <c r="E3" s="27"/>
      <c r="F3" s="27"/>
      <c r="G3" s="27"/>
      <c r="H3" s="27"/>
      <c r="I3" s="27"/>
      <c r="J3" s="27"/>
      <c r="K3" s="27"/>
      <c r="L3" s="27"/>
      <c r="M3" s="27"/>
    </row>
    <row r="4" spans="1:14" ht="30">
      <c r="A4" s="28" t="s">
        <v>55</v>
      </c>
      <c r="B4" s="14">
        <v>1922758</v>
      </c>
      <c r="C4" s="14">
        <v>1781393</v>
      </c>
      <c r="D4" s="14">
        <v>1862204</v>
      </c>
      <c r="E4" s="14">
        <v>1641058.523</v>
      </c>
      <c r="F4" s="14">
        <v>1672776</v>
      </c>
      <c r="G4" s="14">
        <v>1750137</v>
      </c>
      <c r="H4" s="14">
        <v>1894177</v>
      </c>
      <c r="I4" s="14">
        <v>1830113</v>
      </c>
      <c r="J4" s="14">
        <v>1723767</v>
      </c>
      <c r="K4" s="14">
        <v>1660137</v>
      </c>
      <c r="L4" s="14">
        <v>1767573</v>
      </c>
      <c r="M4" s="14">
        <v>1726630</v>
      </c>
      <c r="N4" s="87">
        <f>SUM(B4:M4)</f>
        <v>21232723.523000002</v>
      </c>
    </row>
    <row r="5" spans="1:14">
      <c r="A5" s="78" t="s">
        <v>2</v>
      </c>
      <c r="B5" s="15">
        <v>114376</v>
      </c>
      <c r="C5" s="15">
        <v>104739</v>
      </c>
      <c r="D5" s="15">
        <v>90385</v>
      </c>
      <c r="E5" s="15">
        <v>81658</v>
      </c>
      <c r="F5" s="15">
        <v>73930</v>
      </c>
      <c r="G5" s="15">
        <v>75126</v>
      </c>
      <c r="H5" s="15">
        <v>78958</v>
      </c>
      <c r="I5" s="15">
        <v>79440</v>
      </c>
      <c r="J5" s="15">
        <v>79257</v>
      </c>
      <c r="K5" s="15">
        <v>81628</v>
      </c>
      <c r="L5" s="15">
        <v>103434</v>
      </c>
      <c r="M5" s="15">
        <v>101204</v>
      </c>
      <c r="N5" s="88">
        <f t="shared" ref="N5:N8" si="0">SUM(B5:M5)</f>
        <v>1064135</v>
      </c>
    </row>
    <row r="6" spans="1:14">
      <c r="A6" s="78" t="s">
        <v>57</v>
      </c>
      <c r="B6" s="15">
        <v>1038</v>
      </c>
      <c r="C6" s="15">
        <v>961</v>
      </c>
      <c r="D6" s="15">
        <v>506</v>
      </c>
      <c r="E6" s="15">
        <v>474</v>
      </c>
      <c r="F6" s="15">
        <v>206</v>
      </c>
      <c r="G6" s="15">
        <v>102</v>
      </c>
      <c r="H6" s="15">
        <v>69</v>
      </c>
      <c r="I6" s="15">
        <v>111</v>
      </c>
      <c r="J6" s="15">
        <v>252</v>
      </c>
      <c r="K6" s="15">
        <f>51+445</f>
        <v>496</v>
      </c>
      <c r="L6" s="15">
        <v>791</v>
      </c>
      <c r="M6" s="15">
        <v>1033</v>
      </c>
      <c r="N6" s="88">
        <f t="shared" si="0"/>
        <v>6039</v>
      </c>
    </row>
    <row r="7" spans="1:14" ht="15.75" thickBot="1">
      <c r="A7" s="78" t="s">
        <v>58</v>
      </c>
      <c r="B7" s="16">
        <v>2514.2857142857142</v>
      </c>
      <c r="C7" s="16">
        <v>2859</v>
      </c>
      <c r="D7" s="16">
        <v>1967</v>
      </c>
      <c r="E7" s="16">
        <v>2002</v>
      </c>
      <c r="F7" s="16">
        <v>1191</v>
      </c>
      <c r="G7" s="16">
        <v>1111</v>
      </c>
      <c r="H7" s="16">
        <v>995</v>
      </c>
      <c r="I7" s="16">
        <v>997</v>
      </c>
      <c r="J7" s="16">
        <v>1091</v>
      </c>
      <c r="K7" s="16">
        <v>1831</v>
      </c>
      <c r="L7" s="16">
        <v>2569</v>
      </c>
      <c r="M7" s="16">
        <v>3120</v>
      </c>
      <c r="N7" s="145">
        <f t="shared" si="0"/>
        <v>22247.285714285714</v>
      </c>
    </row>
    <row r="8" spans="1:14" ht="16.5" thickTop="1" thickBot="1">
      <c r="A8" s="64" t="s">
        <v>45</v>
      </c>
      <c r="B8" s="69">
        <f>SUM(B4:B7)</f>
        <v>2040686.2857142857</v>
      </c>
      <c r="C8" s="69">
        <f t="shared" ref="C8:M8" si="1">SUM(C4:C7)</f>
        <v>1889952</v>
      </c>
      <c r="D8" s="69">
        <f t="shared" si="1"/>
        <v>1955062</v>
      </c>
      <c r="E8" s="69">
        <f t="shared" si="1"/>
        <v>1725192.523</v>
      </c>
      <c r="F8" s="69">
        <f t="shared" si="1"/>
        <v>1748103</v>
      </c>
      <c r="G8" s="69">
        <f t="shared" si="1"/>
        <v>1826476</v>
      </c>
      <c r="H8" s="69">
        <f t="shared" si="1"/>
        <v>1974199</v>
      </c>
      <c r="I8" s="69">
        <f t="shared" si="1"/>
        <v>1910661</v>
      </c>
      <c r="J8" s="69">
        <f t="shared" si="1"/>
        <v>1804367</v>
      </c>
      <c r="K8" s="69">
        <f t="shared" si="1"/>
        <v>1744092</v>
      </c>
      <c r="L8" s="69">
        <f t="shared" si="1"/>
        <v>1874367</v>
      </c>
      <c r="M8" s="69">
        <f t="shared" si="1"/>
        <v>1831987</v>
      </c>
      <c r="N8" s="155">
        <f t="shared" si="0"/>
        <v>22325144.808714285</v>
      </c>
    </row>
    <row r="9" spans="1:14">
      <c r="A9" s="19"/>
      <c r="B9" s="158"/>
      <c r="C9" s="158"/>
      <c r="D9" s="158"/>
      <c r="E9" s="158"/>
      <c r="F9" s="158"/>
      <c r="G9" s="158"/>
      <c r="H9" s="158"/>
      <c r="I9" s="158"/>
      <c r="J9" s="158"/>
      <c r="K9" s="158"/>
      <c r="L9" s="158"/>
      <c r="M9" s="158"/>
      <c r="N9" s="158"/>
    </row>
    <row r="10" spans="1:14" ht="15.75" thickBot="1">
      <c r="A10" s="17" t="s">
        <v>15</v>
      </c>
      <c r="B10" s="159"/>
      <c r="C10" s="159"/>
      <c r="D10" s="159"/>
      <c r="E10" s="159"/>
      <c r="F10" s="159"/>
      <c r="G10" s="159"/>
      <c r="H10" s="159"/>
      <c r="I10" s="159"/>
      <c r="J10" s="159"/>
      <c r="K10" s="159"/>
      <c r="L10" s="159"/>
      <c r="M10" s="159"/>
      <c r="N10" s="159"/>
    </row>
    <row r="11" spans="1:14">
      <c r="A11" s="86" t="s">
        <v>97</v>
      </c>
      <c r="B11" s="105">
        <v>445.80645161290317</v>
      </c>
      <c r="C11" s="105">
        <v>544</v>
      </c>
      <c r="D11" s="105">
        <v>498</v>
      </c>
      <c r="E11" s="105">
        <v>457</v>
      </c>
      <c r="F11" s="105">
        <v>428</v>
      </c>
      <c r="G11" s="105">
        <v>684</v>
      </c>
      <c r="H11" s="105">
        <v>908</v>
      </c>
      <c r="I11" s="105">
        <v>828</v>
      </c>
      <c r="J11" s="105">
        <v>678</v>
      </c>
      <c r="K11" s="105">
        <v>498</v>
      </c>
      <c r="L11" s="105">
        <v>633</v>
      </c>
      <c r="M11" s="105">
        <v>488</v>
      </c>
      <c r="N11" s="196">
        <f>SUM(B11:M11)</f>
        <v>7089.8064516129034</v>
      </c>
    </row>
    <row r="12" spans="1:14">
      <c r="A12" s="25" t="s">
        <v>98</v>
      </c>
      <c r="B12" s="107">
        <v>4825.8064516129034</v>
      </c>
      <c r="C12" s="107">
        <v>6560</v>
      </c>
      <c r="D12" s="107">
        <v>5640</v>
      </c>
      <c r="E12" s="107">
        <v>2240</v>
      </c>
      <c r="F12" s="107">
        <v>1200</v>
      </c>
      <c r="G12" s="107">
        <v>0</v>
      </c>
      <c r="H12" s="107">
        <v>0</v>
      </c>
      <c r="I12" s="107">
        <v>0</v>
      </c>
      <c r="J12" s="107">
        <v>806</v>
      </c>
      <c r="K12" s="107">
        <v>960</v>
      </c>
      <c r="L12" s="107">
        <v>3160</v>
      </c>
      <c r="M12" s="107">
        <v>4782</v>
      </c>
      <c r="N12" s="197">
        <f t="shared" ref="N12:N15" si="2">SUM(B12:M12)</f>
        <v>30173.806451612902</v>
      </c>
    </row>
    <row r="13" spans="1:14">
      <c r="A13" s="25" t="s">
        <v>85</v>
      </c>
      <c r="B13" s="107">
        <v>2621.9354838709678</v>
      </c>
      <c r="C13" s="107">
        <v>3712</v>
      </c>
      <c r="D13" s="107">
        <v>3467</v>
      </c>
      <c r="E13" s="107">
        <v>2129</v>
      </c>
      <c r="F13" s="107">
        <v>1644</v>
      </c>
      <c r="G13" s="107">
        <v>1207</v>
      </c>
      <c r="H13" s="107">
        <v>963</v>
      </c>
      <c r="I13" s="107">
        <v>1151</v>
      </c>
      <c r="J13" s="107">
        <v>1456</v>
      </c>
      <c r="K13" s="107">
        <v>1576</v>
      </c>
      <c r="L13" s="107">
        <v>2886</v>
      </c>
      <c r="M13" s="107">
        <v>3403</v>
      </c>
      <c r="N13" s="197">
        <f t="shared" si="2"/>
        <v>26215.93548387097</v>
      </c>
    </row>
    <row r="14" spans="1:14">
      <c r="A14" s="25" t="s">
        <v>99</v>
      </c>
      <c r="B14" s="107">
        <v>357.41935483870969</v>
      </c>
      <c r="C14" s="107">
        <v>552</v>
      </c>
      <c r="D14" s="107">
        <v>632</v>
      </c>
      <c r="E14" s="107">
        <v>760</v>
      </c>
      <c r="F14" s="107">
        <v>785</v>
      </c>
      <c r="G14" s="107">
        <v>815</v>
      </c>
      <c r="H14" s="107">
        <v>793</v>
      </c>
      <c r="I14" s="107">
        <v>829</v>
      </c>
      <c r="J14" s="107">
        <v>806</v>
      </c>
      <c r="K14" s="107">
        <v>716</v>
      </c>
      <c r="L14" s="107">
        <v>719</v>
      </c>
      <c r="M14" s="107">
        <v>636</v>
      </c>
      <c r="N14" s="197">
        <f t="shared" si="2"/>
        <v>8400.4193548387102</v>
      </c>
    </row>
    <row r="15" spans="1:14" ht="15.75" thickBot="1">
      <c r="A15" s="25" t="s">
        <v>100</v>
      </c>
      <c r="B15" s="156">
        <v>61419.354838709682</v>
      </c>
      <c r="C15" s="156">
        <v>83200</v>
      </c>
      <c r="D15" s="156">
        <v>77600</v>
      </c>
      <c r="E15" s="156">
        <v>49896</v>
      </c>
      <c r="F15" s="156">
        <v>39200</v>
      </c>
      <c r="G15" s="156">
        <v>22400</v>
      </c>
      <c r="H15" s="156">
        <v>24000</v>
      </c>
      <c r="I15" s="156">
        <v>26400</v>
      </c>
      <c r="J15" s="156">
        <v>24800</v>
      </c>
      <c r="K15" s="156">
        <v>36000</v>
      </c>
      <c r="L15" s="156">
        <v>62400</v>
      </c>
      <c r="M15" s="156">
        <v>74400</v>
      </c>
      <c r="N15" s="198">
        <f t="shared" si="2"/>
        <v>581715.3548387097</v>
      </c>
    </row>
    <row r="16" spans="1:14" ht="16.5" thickTop="1" thickBot="1">
      <c r="A16" s="72" t="s">
        <v>46</v>
      </c>
      <c r="B16" s="199">
        <f>SUM(B11:B15)</f>
        <v>69670.322580645166</v>
      </c>
      <c r="C16" s="199">
        <f t="shared" ref="C16:N16" si="3">SUM(C11:C15)</f>
        <v>94568</v>
      </c>
      <c r="D16" s="199">
        <f t="shared" si="3"/>
        <v>87837</v>
      </c>
      <c r="E16" s="199">
        <f t="shared" si="3"/>
        <v>55482</v>
      </c>
      <c r="F16" s="199">
        <f t="shared" si="3"/>
        <v>43257</v>
      </c>
      <c r="G16" s="199">
        <f t="shared" si="3"/>
        <v>25106</v>
      </c>
      <c r="H16" s="199">
        <f t="shared" si="3"/>
        <v>26664</v>
      </c>
      <c r="I16" s="199">
        <f t="shared" si="3"/>
        <v>29208</v>
      </c>
      <c r="J16" s="199">
        <f t="shared" si="3"/>
        <v>28546</v>
      </c>
      <c r="K16" s="199">
        <f t="shared" si="3"/>
        <v>39750</v>
      </c>
      <c r="L16" s="199">
        <f t="shared" si="3"/>
        <v>69798</v>
      </c>
      <c r="M16" s="199">
        <f t="shared" si="3"/>
        <v>83709</v>
      </c>
      <c r="N16" s="199">
        <f t="shared" si="3"/>
        <v>653595.32258064521</v>
      </c>
    </row>
    <row r="17" spans="1:14" ht="30.75" thickTop="1" thickBot="1">
      <c r="A17" s="73" t="s">
        <v>49</v>
      </c>
      <c r="B17" s="157">
        <f>B8+B16</f>
        <v>2110356.6082949308</v>
      </c>
      <c r="C17" s="157">
        <f t="shared" ref="C17:N17" si="4">C8+C16</f>
        <v>1984520</v>
      </c>
      <c r="D17" s="157">
        <f t="shared" si="4"/>
        <v>2042899</v>
      </c>
      <c r="E17" s="157">
        <f t="shared" si="4"/>
        <v>1780674.523</v>
      </c>
      <c r="F17" s="157">
        <f t="shared" si="4"/>
        <v>1791360</v>
      </c>
      <c r="G17" s="157">
        <f t="shared" si="4"/>
        <v>1851582</v>
      </c>
      <c r="H17" s="157">
        <f t="shared" si="4"/>
        <v>2000863</v>
      </c>
      <c r="I17" s="157">
        <f t="shared" si="4"/>
        <v>1939869</v>
      </c>
      <c r="J17" s="157">
        <f t="shared" si="4"/>
        <v>1832913</v>
      </c>
      <c r="K17" s="157">
        <f t="shared" si="4"/>
        <v>1783842</v>
      </c>
      <c r="L17" s="157">
        <f t="shared" si="4"/>
        <v>1944165</v>
      </c>
      <c r="M17" s="157">
        <f t="shared" si="4"/>
        <v>1915696</v>
      </c>
      <c r="N17" s="157">
        <f t="shared" si="4"/>
        <v>22978740.131294932</v>
      </c>
    </row>
    <row r="18" spans="1:14" ht="15.75" thickBot="1">
      <c r="B18" s="159"/>
      <c r="C18" s="159"/>
      <c r="D18" s="159"/>
      <c r="E18" s="159"/>
      <c r="F18" s="159"/>
      <c r="G18" s="159"/>
      <c r="H18" s="159"/>
      <c r="I18" s="159"/>
      <c r="J18" s="159"/>
      <c r="K18" s="159"/>
      <c r="L18" s="159"/>
      <c r="M18" s="159"/>
      <c r="N18" s="159"/>
    </row>
    <row r="19" spans="1:14" ht="15.75" thickBot="1">
      <c r="A19" s="66" t="s">
        <v>20</v>
      </c>
      <c r="B19" s="188">
        <v>47222</v>
      </c>
      <c r="C19" s="188">
        <v>44678</v>
      </c>
      <c r="D19" s="188">
        <v>49020</v>
      </c>
      <c r="E19" s="188">
        <v>42253</v>
      </c>
      <c r="F19" s="188">
        <v>42638</v>
      </c>
      <c r="G19" s="188">
        <v>47369</v>
      </c>
      <c r="H19" s="188">
        <v>53887</v>
      </c>
      <c r="I19" s="188">
        <v>48701</v>
      </c>
      <c r="J19" s="188">
        <v>48680</v>
      </c>
      <c r="K19" s="188">
        <v>48209</v>
      </c>
      <c r="L19" s="188">
        <v>48864</v>
      </c>
      <c r="M19" s="188">
        <v>43921</v>
      </c>
      <c r="N19" s="189">
        <f>SUM(B19:M19)</f>
        <v>565442</v>
      </c>
    </row>
    <row r="20" spans="1:14" ht="15.75" thickBot="1">
      <c r="B20" s="159"/>
      <c r="C20" s="159"/>
      <c r="D20" s="159"/>
      <c r="E20" s="159"/>
      <c r="F20" s="159"/>
      <c r="G20" s="159"/>
      <c r="H20" s="159"/>
      <c r="I20" s="159"/>
      <c r="J20" s="159"/>
      <c r="K20" s="159"/>
      <c r="L20" s="159"/>
      <c r="M20" s="159"/>
      <c r="N20" s="159"/>
    </row>
    <row r="21" spans="1:14" ht="15.75" thickBot="1">
      <c r="A21" s="18" t="s">
        <v>48</v>
      </c>
      <c r="B21" s="200">
        <f>B19+B17</f>
        <v>2157578.6082949308</v>
      </c>
      <c r="C21" s="200">
        <f t="shared" ref="C21:N21" si="5">C19+C17</f>
        <v>2029198</v>
      </c>
      <c r="D21" s="200">
        <f t="shared" si="5"/>
        <v>2091919</v>
      </c>
      <c r="E21" s="200">
        <f t="shared" si="5"/>
        <v>1822927.523</v>
      </c>
      <c r="F21" s="200">
        <f t="shared" si="5"/>
        <v>1833998</v>
      </c>
      <c r="G21" s="200">
        <f t="shared" si="5"/>
        <v>1898951</v>
      </c>
      <c r="H21" s="200">
        <f t="shared" si="5"/>
        <v>2054750</v>
      </c>
      <c r="I21" s="200">
        <f t="shared" si="5"/>
        <v>1988570</v>
      </c>
      <c r="J21" s="200">
        <f t="shared" si="5"/>
        <v>1881593</v>
      </c>
      <c r="K21" s="200">
        <f t="shared" si="5"/>
        <v>1832051</v>
      </c>
      <c r="L21" s="200">
        <f t="shared" si="5"/>
        <v>1993029</v>
      </c>
      <c r="M21" s="200">
        <f t="shared" si="5"/>
        <v>1959617</v>
      </c>
      <c r="N21" s="201">
        <f t="shared" si="5"/>
        <v>23544182.131294932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1"/>
  <sheetViews>
    <sheetView showGridLines="0" workbookViewId="0">
      <selection activeCell="N1" sqref="N1"/>
    </sheetView>
  </sheetViews>
  <sheetFormatPr defaultColWidth="8.85546875" defaultRowHeight="15"/>
  <cols>
    <col min="1" max="1" width="24.85546875" style="17" customWidth="1"/>
    <col min="2" max="2" width="11.140625" style="17" customWidth="1"/>
    <col min="3" max="3" width="10.7109375" style="17" customWidth="1"/>
    <col min="4" max="4" width="11.28515625" style="17" customWidth="1"/>
    <col min="5" max="5" width="10.140625" style="17" customWidth="1"/>
    <col min="6" max="7" width="10.85546875" style="17" customWidth="1"/>
    <col min="8" max="8" width="11.28515625" style="17" customWidth="1"/>
    <col min="9" max="10" width="10.42578125" style="17" customWidth="1"/>
    <col min="11" max="11" width="11.140625" style="17" customWidth="1"/>
    <col min="12" max="12" width="10.7109375" style="17" customWidth="1"/>
    <col min="13" max="13" width="11" style="17" customWidth="1"/>
    <col min="14" max="14" width="11.42578125" style="17" customWidth="1"/>
    <col min="15" max="16384" width="8.85546875" style="17"/>
  </cols>
  <sheetData>
    <row r="1" spans="1:14" ht="15.75" thickBot="1">
      <c r="A1" s="66" t="s">
        <v>0</v>
      </c>
      <c r="B1" s="68">
        <v>43113</v>
      </c>
      <c r="C1" s="68">
        <v>43144</v>
      </c>
      <c r="D1" s="68">
        <v>43172</v>
      </c>
      <c r="E1" s="68">
        <v>43203</v>
      </c>
      <c r="F1" s="68">
        <v>43233</v>
      </c>
      <c r="G1" s="68">
        <v>43264</v>
      </c>
      <c r="H1" s="68">
        <v>43294</v>
      </c>
      <c r="I1" s="68">
        <v>43325</v>
      </c>
      <c r="J1" s="68">
        <v>43356</v>
      </c>
      <c r="K1" s="68">
        <v>43386</v>
      </c>
      <c r="L1" s="68">
        <v>43417</v>
      </c>
      <c r="M1" s="68">
        <v>43447</v>
      </c>
      <c r="N1" s="36" t="s">
        <v>130</v>
      </c>
    </row>
    <row r="2" spans="1:14">
      <c r="B2" s="27"/>
      <c r="C2" s="27"/>
      <c r="D2" s="27"/>
      <c r="E2" s="27"/>
      <c r="F2" s="27"/>
      <c r="G2" s="27"/>
      <c r="H2" s="27"/>
      <c r="I2" s="27"/>
      <c r="J2" s="27"/>
      <c r="K2" s="27"/>
      <c r="L2" s="27"/>
      <c r="M2" s="27"/>
    </row>
    <row r="3" spans="1:14" ht="15.75" thickBot="1">
      <c r="A3" s="21" t="s">
        <v>1</v>
      </c>
      <c r="B3" s="27"/>
      <c r="C3" s="27"/>
      <c r="D3" s="27"/>
      <c r="E3" s="27"/>
      <c r="F3" s="27"/>
      <c r="G3" s="27"/>
      <c r="H3" s="27"/>
      <c r="I3" s="27"/>
      <c r="J3" s="27"/>
      <c r="K3" s="27"/>
      <c r="L3" s="27"/>
      <c r="M3" s="27"/>
    </row>
    <row r="4" spans="1:14" ht="30">
      <c r="A4" s="28" t="s">
        <v>55</v>
      </c>
      <c r="B4" s="105">
        <v>1866347</v>
      </c>
      <c r="C4" s="105">
        <v>1699247</v>
      </c>
      <c r="D4" s="105">
        <v>1813023</v>
      </c>
      <c r="E4" s="105">
        <v>1616319</v>
      </c>
      <c r="F4" s="105">
        <v>1557023</v>
      </c>
      <c r="G4" s="105">
        <v>1681386</v>
      </c>
      <c r="H4" s="105">
        <v>1931153</v>
      </c>
      <c r="I4" s="105">
        <v>1806024</v>
      </c>
      <c r="J4" s="105">
        <v>1764235</v>
      </c>
      <c r="K4" s="105">
        <v>1754330</v>
      </c>
      <c r="L4" s="105">
        <v>1801776</v>
      </c>
      <c r="M4" s="105">
        <v>1849711</v>
      </c>
      <c r="N4" s="196">
        <f>SUM(B4:M4)</f>
        <v>21140574</v>
      </c>
    </row>
    <row r="5" spans="1:14">
      <c r="A5" s="78" t="s">
        <v>2</v>
      </c>
      <c r="B5" s="107">
        <v>114467</v>
      </c>
      <c r="C5" s="107">
        <v>108755</v>
      </c>
      <c r="D5" s="107">
        <v>93891</v>
      </c>
      <c r="E5" s="107">
        <v>74960</v>
      </c>
      <c r="F5" s="107">
        <v>56133</v>
      </c>
      <c r="G5" s="107">
        <v>50690</v>
      </c>
      <c r="H5" s="107">
        <v>61993</v>
      </c>
      <c r="I5" s="107">
        <v>58161</v>
      </c>
      <c r="J5" s="107">
        <v>56371</v>
      </c>
      <c r="K5" s="107">
        <v>65546</v>
      </c>
      <c r="L5" s="107">
        <v>86306</v>
      </c>
      <c r="M5" s="107">
        <v>103782</v>
      </c>
      <c r="N5" s="197">
        <f t="shared" ref="N5:N7" si="0">SUM(B5:M5)</f>
        <v>931055</v>
      </c>
    </row>
    <row r="6" spans="1:14">
      <c r="A6" s="78" t="s">
        <v>57</v>
      </c>
      <c r="B6" s="107">
        <v>1117</v>
      </c>
      <c r="C6" s="107">
        <v>984</v>
      </c>
      <c r="D6" s="107">
        <v>799</v>
      </c>
      <c r="E6" s="107">
        <f>37+475</f>
        <v>512</v>
      </c>
      <c r="F6" s="107">
        <v>355</v>
      </c>
      <c r="G6" s="107">
        <v>142</v>
      </c>
      <c r="H6" s="107">
        <v>116</v>
      </c>
      <c r="I6" s="107">
        <v>154</v>
      </c>
      <c r="J6" s="107">
        <v>303</v>
      </c>
      <c r="K6" s="107">
        <f>121+434</f>
        <v>555</v>
      </c>
      <c r="L6" s="107">
        <v>964</v>
      </c>
      <c r="M6" s="107">
        <v>1335</v>
      </c>
      <c r="N6" s="197">
        <f t="shared" si="0"/>
        <v>7336</v>
      </c>
    </row>
    <row r="7" spans="1:14" ht="15.75" thickBot="1">
      <c r="A7" s="78" t="s">
        <v>58</v>
      </c>
      <c r="B7" s="156">
        <v>3266</v>
      </c>
      <c r="C7" s="156">
        <v>2865</v>
      </c>
      <c r="D7" s="156">
        <v>2740</v>
      </c>
      <c r="E7" s="156">
        <v>2226</v>
      </c>
      <c r="F7" s="156">
        <v>1296</v>
      </c>
      <c r="G7" s="156">
        <v>981</v>
      </c>
      <c r="H7" s="156">
        <v>1082</v>
      </c>
      <c r="I7" s="156">
        <v>1015</v>
      </c>
      <c r="J7" s="156">
        <v>1097</v>
      </c>
      <c r="K7" s="156">
        <v>2148</v>
      </c>
      <c r="L7" s="156">
        <v>2563</v>
      </c>
      <c r="M7" s="156">
        <v>3957</v>
      </c>
      <c r="N7" s="198">
        <f t="shared" si="0"/>
        <v>25236</v>
      </c>
    </row>
    <row r="8" spans="1:14" ht="16.5" thickTop="1" thickBot="1">
      <c r="A8" s="64" t="s">
        <v>45</v>
      </c>
      <c r="B8" s="157">
        <f>SUM(B4:B7)</f>
        <v>1985197</v>
      </c>
      <c r="C8" s="157">
        <f t="shared" ref="C8:N8" si="1">SUM(C4:C7)</f>
        <v>1811851</v>
      </c>
      <c r="D8" s="157">
        <f t="shared" si="1"/>
        <v>1910453</v>
      </c>
      <c r="E8" s="157">
        <f t="shared" si="1"/>
        <v>1694017</v>
      </c>
      <c r="F8" s="157">
        <f t="shared" si="1"/>
        <v>1614807</v>
      </c>
      <c r="G8" s="157">
        <f t="shared" si="1"/>
        <v>1733199</v>
      </c>
      <c r="H8" s="157">
        <f t="shared" si="1"/>
        <v>1994344</v>
      </c>
      <c r="I8" s="157">
        <f t="shared" si="1"/>
        <v>1865354</v>
      </c>
      <c r="J8" s="157">
        <f t="shared" si="1"/>
        <v>1822006</v>
      </c>
      <c r="K8" s="157">
        <f t="shared" si="1"/>
        <v>1822579</v>
      </c>
      <c r="L8" s="157">
        <f t="shared" si="1"/>
        <v>1891609</v>
      </c>
      <c r="M8" s="157">
        <f t="shared" si="1"/>
        <v>1958785</v>
      </c>
      <c r="N8" s="157">
        <f t="shared" si="1"/>
        <v>22104201</v>
      </c>
    </row>
    <row r="9" spans="1:14">
      <c r="B9" s="159"/>
      <c r="C9" s="159"/>
      <c r="D9" s="159"/>
      <c r="E9" s="159"/>
      <c r="F9" s="159"/>
      <c r="G9" s="159"/>
      <c r="H9" s="159"/>
      <c r="I9" s="159"/>
      <c r="J9" s="159"/>
      <c r="K9" s="159"/>
      <c r="L9" s="159"/>
      <c r="M9" s="159"/>
      <c r="N9" s="159"/>
    </row>
    <row r="10" spans="1:14" ht="15.75" thickBot="1">
      <c r="A10" s="21" t="s">
        <v>15</v>
      </c>
      <c r="B10" s="159"/>
      <c r="C10" s="159"/>
      <c r="D10" s="159"/>
      <c r="E10" s="159"/>
      <c r="F10" s="159"/>
      <c r="G10" s="159"/>
      <c r="H10" s="159"/>
      <c r="I10" s="159"/>
      <c r="J10" s="159"/>
      <c r="K10" s="159"/>
      <c r="L10" s="159"/>
      <c r="M10" s="159"/>
      <c r="N10" s="159"/>
    </row>
    <row r="11" spans="1:14">
      <c r="A11" s="86" t="s">
        <v>97</v>
      </c>
      <c r="B11" s="105">
        <v>546</v>
      </c>
      <c r="C11" s="105">
        <v>597</v>
      </c>
      <c r="D11" s="105">
        <v>487</v>
      </c>
      <c r="E11" s="105">
        <v>455</v>
      </c>
      <c r="F11" s="105">
        <v>433</v>
      </c>
      <c r="G11" s="105">
        <v>412</v>
      </c>
      <c r="H11" s="105">
        <v>1154</v>
      </c>
      <c r="I11" s="105">
        <v>574</v>
      </c>
      <c r="J11" s="105">
        <v>557</v>
      </c>
      <c r="K11" s="105">
        <v>381</v>
      </c>
      <c r="L11" s="105">
        <v>441</v>
      </c>
      <c r="M11" s="105">
        <v>436</v>
      </c>
      <c r="N11" s="196">
        <f>SUM(B11:M11)</f>
        <v>6473</v>
      </c>
    </row>
    <row r="12" spans="1:14">
      <c r="A12" s="25" t="s">
        <v>98</v>
      </c>
      <c r="B12" s="107">
        <v>7240</v>
      </c>
      <c r="C12" s="107">
        <v>8800</v>
      </c>
      <c r="D12" s="107">
        <v>6120</v>
      </c>
      <c r="E12" s="107">
        <v>4240</v>
      </c>
      <c r="F12" s="107">
        <v>31</v>
      </c>
      <c r="G12" s="107">
        <v>0</v>
      </c>
      <c r="H12" s="107">
        <v>0</v>
      </c>
      <c r="I12" s="107">
        <v>0</v>
      </c>
      <c r="J12" s="107">
        <v>0</v>
      </c>
      <c r="K12" s="107">
        <v>600</v>
      </c>
      <c r="L12" s="107">
        <v>4283</v>
      </c>
      <c r="M12" s="107">
        <v>7997</v>
      </c>
      <c r="N12" s="197">
        <f t="shared" ref="N12:N15" si="2">SUM(B12:M12)</f>
        <v>39311</v>
      </c>
    </row>
    <row r="13" spans="1:14">
      <c r="A13" s="25" t="s">
        <v>85</v>
      </c>
      <c r="B13" s="107">
        <v>4104</v>
      </c>
      <c r="C13" s="107">
        <v>4347</v>
      </c>
      <c r="D13" s="107">
        <v>3680</v>
      </c>
      <c r="E13" s="107">
        <v>2985</v>
      </c>
      <c r="F13" s="107">
        <v>1614</v>
      </c>
      <c r="G13" s="107">
        <v>1370</v>
      </c>
      <c r="H13" s="107">
        <v>1046</v>
      </c>
      <c r="I13" s="107">
        <v>978</v>
      </c>
      <c r="J13" s="107">
        <v>1582</v>
      </c>
      <c r="K13" s="107">
        <v>1976</v>
      </c>
      <c r="L13" s="107">
        <v>2634</v>
      </c>
      <c r="M13" s="107">
        <v>3079</v>
      </c>
      <c r="N13" s="197">
        <f t="shared" si="2"/>
        <v>29395</v>
      </c>
    </row>
    <row r="14" spans="1:14">
      <c r="A14" s="25" t="s">
        <v>99</v>
      </c>
      <c r="B14" s="107">
        <v>593</v>
      </c>
      <c r="C14" s="107">
        <v>509</v>
      </c>
      <c r="D14" s="107">
        <v>456</v>
      </c>
      <c r="E14" s="107">
        <v>606</v>
      </c>
      <c r="F14" s="107">
        <v>767</v>
      </c>
      <c r="G14" s="107">
        <v>694</v>
      </c>
      <c r="H14" s="107">
        <v>910</v>
      </c>
      <c r="I14" s="107">
        <v>746</v>
      </c>
      <c r="J14" s="107">
        <v>787</v>
      </c>
      <c r="K14" s="107">
        <v>803</v>
      </c>
      <c r="L14" s="107">
        <v>685</v>
      </c>
      <c r="M14" s="107">
        <v>538</v>
      </c>
      <c r="N14" s="197">
        <f t="shared" si="2"/>
        <v>8094</v>
      </c>
    </row>
    <row r="15" spans="1:14" ht="15.75" thickBot="1">
      <c r="A15" s="25" t="s">
        <v>100</v>
      </c>
      <c r="B15" s="156">
        <v>101600</v>
      </c>
      <c r="C15" s="156">
        <v>120800</v>
      </c>
      <c r="D15" s="156">
        <v>101600</v>
      </c>
      <c r="E15" s="156">
        <v>47200</v>
      </c>
      <c r="F15" s="156">
        <v>36800</v>
      </c>
      <c r="G15" s="156">
        <v>34400</v>
      </c>
      <c r="H15" s="156">
        <v>20000</v>
      </c>
      <c r="I15" s="156">
        <v>23200</v>
      </c>
      <c r="J15" s="156">
        <v>27200</v>
      </c>
      <c r="K15" s="156">
        <v>34400</v>
      </c>
      <c r="L15" s="156">
        <v>68000</v>
      </c>
      <c r="M15" s="156">
        <v>101600</v>
      </c>
      <c r="N15" s="198">
        <f t="shared" si="2"/>
        <v>716800</v>
      </c>
    </row>
    <row r="16" spans="1:14" ht="16.5" thickTop="1" thickBot="1">
      <c r="A16" s="64" t="s">
        <v>46</v>
      </c>
      <c r="B16" s="199">
        <f>SUM(B11:B15)</f>
        <v>114083</v>
      </c>
      <c r="C16" s="199">
        <f t="shared" ref="C16:N16" si="3">SUM(C11:C15)</f>
        <v>135053</v>
      </c>
      <c r="D16" s="199">
        <f t="shared" si="3"/>
        <v>112343</v>
      </c>
      <c r="E16" s="199">
        <f t="shared" si="3"/>
        <v>55486</v>
      </c>
      <c r="F16" s="199">
        <f t="shared" si="3"/>
        <v>39645</v>
      </c>
      <c r="G16" s="199">
        <f t="shared" si="3"/>
        <v>36876</v>
      </c>
      <c r="H16" s="199">
        <f t="shared" si="3"/>
        <v>23110</v>
      </c>
      <c r="I16" s="199">
        <f t="shared" si="3"/>
        <v>25498</v>
      </c>
      <c r="J16" s="199">
        <f t="shared" si="3"/>
        <v>30126</v>
      </c>
      <c r="K16" s="199">
        <f t="shared" si="3"/>
        <v>38160</v>
      </c>
      <c r="L16" s="199">
        <f t="shared" si="3"/>
        <v>76043</v>
      </c>
      <c r="M16" s="199">
        <f t="shared" si="3"/>
        <v>113650</v>
      </c>
      <c r="N16" s="199">
        <f t="shared" si="3"/>
        <v>800073</v>
      </c>
    </row>
    <row r="17" spans="1:14" ht="30" thickBot="1">
      <c r="A17" s="60" t="s">
        <v>50</v>
      </c>
      <c r="B17" s="157">
        <f>B8+B16</f>
        <v>2099280</v>
      </c>
      <c r="C17" s="157">
        <f t="shared" ref="C17:N17" si="4">C8+C16</f>
        <v>1946904</v>
      </c>
      <c r="D17" s="157">
        <f t="shared" si="4"/>
        <v>2022796</v>
      </c>
      <c r="E17" s="157">
        <f t="shared" si="4"/>
        <v>1749503</v>
      </c>
      <c r="F17" s="157">
        <f t="shared" si="4"/>
        <v>1654452</v>
      </c>
      <c r="G17" s="157">
        <f t="shared" si="4"/>
        <v>1770075</v>
      </c>
      <c r="H17" s="157">
        <f t="shared" si="4"/>
        <v>2017454</v>
      </c>
      <c r="I17" s="157">
        <f t="shared" si="4"/>
        <v>1890852</v>
      </c>
      <c r="J17" s="157">
        <f t="shared" si="4"/>
        <v>1852132</v>
      </c>
      <c r="K17" s="157">
        <f t="shared" si="4"/>
        <v>1860739</v>
      </c>
      <c r="L17" s="157">
        <f t="shared" si="4"/>
        <v>1967652</v>
      </c>
      <c r="M17" s="157">
        <f t="shared" si="4"/>
        <v>2072435</v>
      </c>
      <c r="N17" s="157">
        <f t="shared" si="4"/>
        <v>22904274</v>
      </c>
    </row>
    <row r="18" spans="1:14" ht="15.75" thickBot="1">
      <c r="B18" s="159"/>
      <c r="C18" s="159"/>
      <c r="D18" s="159"/>
      <c r="E18" s="159"/>
      <c r="F18" s="159"/>
      <c r="G18" s="159"/>
      <c r="H18" s="159"/>
      <c r="I18" s="159"/>
      <c r="J18" s="159"/>
      <c r="K18" s="159"/>
      <c r="L18" s="159"/>
      <c r="M18" s="159"/>
      <c r="N18" s="159"/>
    </row>
    <row r="19" spans="1:14" ht="15.75" thickBot="1">
      <c r="A19" s="66" t="s">
        <v>20</v>
      </c>
      <c r="B19" s="188">
        <v>48221</v>
      </c>
      <c r="C19" s="188">
        <v>42783</v>
      </c>
      <c r="D19" s="188">
        <v>48462</v>
      </c>
      <c r="E19" s="188">
        <v>44014.98</v>
      </c>
      <c r="F19" s="188">
        <v>42451.16</v>
      </c>
      <c r="G19" s="188">
        <v>42239.12</v>
      </c>
      <c r="H19" s="188">
        <v>52039.74</v>
      </c>
      <c r="I19" s="188">
        <v>46064.75</v>
      </c>
      <c r="J19" s="188">
        <v>48628.28</v>
      </c>
      <c r="K19" s="188">
        <v>47332.67</v>
      </c>
      <c r="L19" s="188">
        <v>47648.54</v>
      </c>
      <c r="M19" s="188">
        <v>43518.87</v>
      </c>
      <c r="N19" s="189">
        <f>SUM(B19:M19)</f>
        <v>553404.11</v>
      </c>
    </row>
    <row r="20" spans="1:14" ht="15.75" thickBot="1">
      <c r="B20" s="159"/>
      <c r="C20" s="159"/>
      <c r="D20" s="159"/>
      <c r="E20" s="159"/>
      <c r="F20" s="159"/>
      <c r="G20" s="159"/>
      <c r="H20" s="159"/>
      <c r="I20" s="159"/>
      <c r="J20" s="159"/>
      <c r="K20" s="159"/>
      <c r="L20" s="159"/>
      <c r="M20" s="159"/>
      <c r="N20" s="159"/>
    </row>
    <row r="21" spans="1:14" s="65" customFormat="1" ht="15.75" thickBot="1">
      <c r="A21" s="18" t="s">
        <v>48</v>
      </c>
      <c r="B21" s="200">
        <f>B17+B19</f>
        <v>2147501</v>
      </c>
      <c r="C21" s="200">
        <f t="shared" ref="C21:N21" si="5">C17+C19</f>
        <v>1989687</v>
      </c>
      <c r="D21" s="200">
        <f t="shared" si="5"/>
        <v>2071258</v>
      </c>
      <c r="E21" s="200">
        <f t="shared" si="5"/>
        <v>1793517.98</v>
      </c>
      <c r="F21" s="200">
        <f t="shared" si="5"/>
        <v>1696903.16</v>
      </c>
      <c r="G21" s="200">
        <f t="shared" si="5"/>
        <v>1812314.12</v>
      </c>
      <c r="H21" s="200">
        <f t="shared" si="5"/>
        <v>2069493.74</v>
      </c>
      <c r="I21" s="200">
        <f t="shared" si="5"/>
        <v>1936916.75</v>
      </c>
      <c r="J21" s="200">
        <f t="shared" si="5"/>
        <v>1900760.28</v>
      </c>
      <c r="K21" s="200">
        <f t="shared" si="5"/>
        <v>1908071.67</v>
      </c>
      <c r="L21" s="200">
        <f t="shared" si="5"/>
        <v>2015300.54</v>
      </c>
      <c r="M21" s="200">
        <f t="shared" si="5"/>
        <v>2115953.87</v>
      </c>
      <c r="N21" s="200">
        <f t="shared" si="5"/>
        <v>23457678.109999999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Notes</vt:lpstr>
      <vt:lpstr>GHGs</vt:lpstr>
      <vt:lpstr>E07</vt:lpstr>
      <vt:lpstr>E08</vt:lpstr>
      <vt:lpstr>E09</vt:lpstr>
      <vt:lpstr>E10</vt:lpstr>
      <vt:lpstr>E11</vt:lpstr>
      <vt:lpstr>E12</vt:lpstr>
      <vt:lpstr>E13</vt:lpstr>
      <vt:lpstr>E14</vt:lpstr>
      <vt:lpstr>E15</vt:lpstr>
      <vt:lpstr>E16</vt:lpstr>
      <vt:lpstr>E17</vt:lpstr>
      <vt:lpstr>E18</vt:lpstr>
      <vt:lpstr>E19</vt:lpstr>
      <vt:lpstr>E20</vt:lpstr>
      <vt:lpstr>E21</vt:lpstr>
      <vt:lpstr>E22</vt:lpstr>
      <vt:lpstr>G07</vt:lpstr>
      <vt:lpstr>G08</vt:lpstr>
      <vt:lpstr>G09</vt:lpstr>
      <vt:lpstr>G10</vt:lpstr>
      <vt:lpstr>G11</vt:lpstr>
      <vt:lpstr>G12</vt:lpstr>
      <vt:lpstr>G13</vt:lpstr>
      <vt:lpstr>G14</vt:lpstr>
      <vt:lpstr>G15</vt:lpstr>
      <vt:lpstr>G16</vt:lpstr>
      <vt:lpstr>G17</vt:lpstr>
      <vt:lpstr>G18</vt:lpstr>
      <vt:lpstr>G19</vt:lpstr>
      <vt:lpstr>G20</vt:lpstr>
      <vt:lpstr>G21</vt:lpstr>
      <vt:lpstr>G22</vt:lpstr>
      <vt:lpstr>W07</vt:lpstr>
      <vt:lpstr>W08</vt:lpstr>
      <vt:lpstr>W09</vt:lpstr>
      <vt:lpstr>W10</vt:lpstr>
      <vt:lpstr>W11</vt:lpstr>
      <vt:lpstr>W12</vt:lpstr>
      <vt:lpstr>W13</vt:lpstr>
      <vt:lpstr>W14</vt:lpstr>
      <vt:lpstr>W15</vt:lpstr>
      <vt:lpstr>W16</vt:lpstr>
      <vt:lpstr>W17</vt:lpstr>
      <vt:lpstr>W18</vt:lpstr>
      <vt:lpstr>W19</vt:lpstr>
      <vt:lpstr>W20</vt:lpstr>
      <vt:lpstr>W21</vt:lpstr>
      <vt:lpstr>W22</vt:lpstr>
      <vt:lpstr>O07</vt:lpstr>
      <vt:lpstr>O08</vt:lpstr>
      <vt:lpstr>O09</vt:lpstr>
      <vt:lpstr>O10</vt:lpstr>
      <vt:lpstr>O11</vt:lpstr>
      <vt:lpstr>O12</vt:lpstr>
      <vt:lpstr>O13</vt:lpstr>
      <vt:lpstr>O14</vt:lpstr>
      <vt:lpstr>O15</vt:lpstr>
      <vt:lpstr>O16</vt:lpstr>
      <vt:lpstr>O17</vt:lpstr>
      <vt:lpstr>O18</vt:lpstr>
      <vt:lpstr>O19</vt:lpstr>
      <vt:lpstr>O20</vt:lpstr>
      <vt:lpstr>O21</vt:lpstr>
      <vt:lpstr>O22</vt:lpstr>
      <vt:lpstr>P15</vt:lpstr>
      <vt:lpstr>P16</vt:lpstr>
      <vt:lpstr>P17</vt:lpstr>
      <vt:lpstr>P18</vt:lpstr>
      <vt:lpstr>P19</vt:lpstr>
      <vt:lpstr>P20</vt:lpstr>
      <vt:lpstr>P21</vt:lpstr>
      <vt:lpstr>P22</vt:lpstr>
    </vt:vector>
  </TitlesOfParts>
  <Company>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shelleystrain</dc:creator>
  <cp:lastModifiedBy>Julie Ellis</cp:lastModifiedBy>
  <cp:lastPrinted>2019-04-26T15:32:21Z</cp:lastPrinted>
  <dcterms:created xsi:type="dcterms:W3CDTF">2018-08-09T12:54:52Z</dcterms:created>
  <dcterms:modified xsi:type="dcterms:W3CDTF">2023-06-20T13:59:42Z</dcterms:modified>
</cp:coreProperties>
</file>